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web/master.passwd/"/>
    </mc:Choice>
  </mc:AlternateContent>
  <xr:revisionPtr revIDLastSave="0" documentId="13_ncr:1_{A9B896CB-1B8F-4648-8C23-3759C16FBA8A}" xr6:coauthVersionLast="47" xr6:coauthVersionMax="47" xr10:uidLastSave="{00000000-0000-0000-0000-000000000000}"/>
  <bookViews>
    <workbookView xWindow="780" yWindow="500" windowWidth="34820" windowHeight="25200" tabRatio="500" firstSheet="6" activeTab="13" xr2:uid="{00000000-000D-0000-FFFF-FFFF00000000}"/>
  </bookViews>
  <sheets>
    <sheet name="uncatalogued" sheetId="1" r:id="rId1"/>
    <sheet name="video" sheetId="2" r:id="rId2"/>
    <sheet name="movie" sheetId="3" r:id="rId3"/>
    <sheet name="serie" sheetId="4" r:id="rId4"/>
    <sheet name="audio" sheetId="5" r:id="rId5"/>
    <sheet name="music" sheetId="6" r:id="rId6"/>
    <sheet name="audiobook" sheetId="7" r:id="rId7"/>
    <sheet name="docs" sheetId="8" r:id="rId8"/>
    <sheet name="ebook" sheetId="9" r:id="rId9"/>
    <sheet name="comics" sheetId="10" r:id="rId10"/>
    <sheet name="game" sheetId="11" r:id="rId11"/>
    <sheet name="software" sheetId="12" r:id="rId12"/>
    <sheet name="image" sheetId="13" r:id="rId13"/>
    <sheet name="nsfw" sheetId="14" r:id="rId1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28" i="14" l="1"/>
  <c r="A228" i="14"/>
  <c r="C227" i="14"/>
  <c r="A227" i="14"/>
  <c r="C226" i="14"/>
  <c r="A226" i="14"/>
  <c r="C225" i="14"/>
  <c r="A225" i="14"/>
  <c r="C224" i="14"/>
  <c r="A224" i="14"/>
  <c r="C223" i="14"/>
  <c r="A223" i="14"/>
  <c r="C222" i="14"/>
  <c r="A222" i="14"/>
  <c r="C221" i="14"/>
  <c r="A221" i="14"/>
  <c r="C220" i="14"/>
  <c r="A220" i="14"/>
  <c r="C219" i="14"/>
  <c r="A219" i="14"/>
  <c r="C218" i="14"/>
  <c r="A218" i="14"/>
  <c r="C217" i="14"/>
  <c r="A217" i="14"/>
  <c r="C216" i="14"/>
  <c r="A216" i="14"/>
  <c r="C215" i="14"/>
  <c r="A215" i="14"/>
  <c r="C214" i="14"/>
  <c r="A214" i="14"/>
  <c r="C213" i="14"/>
  <c r="A213" i="14"/>
  <c r="C212" i="14"/>
  <c r="A212" i="14"/>
  <c r="C211" i="14"/>
  <c r="A211" i="14"/>
  <c r="C210" i="14"/>
  <c r="A210" i="14"/>
  <c r="C209" i="14"/>
  <c r="A209" i="14"/>
  <c r="C208" i="14"/>
  <c r="A208" i="14"/>
  <c r="C207" i="14"/>
  <c r="A207" i="14"/>
  <c r="C206" i="14"/>
  <c r="A206" i="14"/>
  <c r="C205" i="14"/>
  <c r="A205" i="14"/>
  <c r="C204" i="14"/>
  <c r="A204" i="14"/>
  <c r="C203" i="14"/>
  <c r="A203" i="14"/>
  <c r="C202" i="14"/>
  <c r="A202" i="14"/>
  <c r="C201" i="14"/>
  <c r="A201" i="14"/>
  <c r="C200" i="14"/>
  <c r="A200" i="14"/>
  <c r="C199" i="14"/>
  <c r="A199" i="14"/>
  <c r="C198" i="14"/>
  <c r="A198" i="14"/>
  <c r="C197" i="14"/>
  <c r="A197" i="14"/>
  <c r="C196" i="14"/>
  <c r="A196" i="14"/>
  <c r="C195" i="14"/>
  <c r="A195" i="14"/>
  <c r="C194" i="14"/>
  <c r="A194" i="14"/>
  <c r="C193" i="14"/>
  <c r="A193" i="14"/>
  <c r="C192" i="14"/>
  <c r="A192" i="14"/>
  <c r="C191" i="14"/>
  <c r="A191" i="14"/>
  <c r="C190" i="14"/>
  <c r="A190" i="14"/>
  <c r="C189" i="14"/>
  <c r="A189" i="14"/>
  <c r="C188" i="14"/>
  <c r="A188" i="14"/>
  <c r="C187" i="14"/>
  <c r="A187" i="14"/>
  <c r="C186" i="14"/>
  <c r="A186" i="14"/>
  <c r="C185" i="14"/>
  <c r="A185" i="14"/>
  <c r="C184" i="14"/>
  <c r="A184" i="14"/>
  <c r="C183" i="14"/>
  <c r="A183" i="14"/>
  <c r="C182" i="14"/>
  <c r="A182" i="14"/>
  <c r="C181" i="14"/>
  <c r="A181" i="14"/>
  <c r="C180" i="14"/>
  <c r="A180" i="14"/>
  <c r="C179" i="14"/>
  <c r="A179" i="14"/>
  <c r="C178" i="14"/>
  <c r="A178" i="14"/>
  <c r="C177" i="14"/>
  <c r="A177" i="14"/>
  <c r="C176" i="14"/>
  <c r="A176" i="14"/>
  <c r="C175" i="14"/>
  <c r="A175" i="14"/>
  <c r="C174" i="14"/>
  <c r="A174" i="14"/>
  <c r="C173" i="14"/>
  <c r="A173" i="14"/>
  <c r="C172" i="14"/>
  <c r="A172" i="14"/>
  <c r="C171" i="14"/>
  <c r="A171" i="14"/>
  <c r="C170" i="14"/>
  <c r="A170" i="14"/>
  <c r="C169" i="14"/>
  <c r="A169" i="14"/>
  <c r="C168" i="14"/>
  <c r="A168" i="14"/>
  <c r="C167" i="14"/>
  <c r="A167" i="14"/>
  <c r="C166" i="14"/>
  <c r="A166" i="14"/>
  <c r="C165" i="14"/>
  <c r="A165" i="14"/>
  <c r="C164" i="14"/>
  <c r="A164" i="14"/>
  <c r="C163" i="14"/>
  <c r="A163" i="14"/>
  <c r="C162" i="14"/>
  <c r="A162" i="14"/>
  <c r="C161" i="14"/>
  <c r="A161" i="14"/>
  <c r="C160" i="14"/>
  <c r="A160" i="14"/>
  <c r="C159" i="14"/>
  <c r="A159" i="14"/>
  <c r="C158" i="14"/>
  <c r="A158" i="14"/>
  <c r="C157" i="14"/>
  <c r="A157" i="14"/>
  <c r="C156" i="14"/>
  <c r="A156" i="14"/>
  <c r="C155" i="14"/>
  <c r="A155" i="14"/>
  <c r="C154" i="14"/>
  <c r="A154" i="14"/>
  <c r="C153" i="14"/>
  <c r="A153" i="14"/>
  <c r="C152" i="14"/>
  <c r="A152" i="14"/>
  <c r="C151" i="14"/>
  <c r="A151" i="14"/>
  <c r="C150" i="14"/>
  <c r="A150" i="14"/>
  <c r="C149" i="14"/>
  <c r="A149" i="14"/>
  <c r="C148" i="14"/>
  <c r="A148" i="14"/>
  <c r="C147" i="14"/>
  <c r="A147" i="14"/>
  <c r="C146" i="14"/>
  <c r="A146" i="14"/>
  <c r="C145" i="14"/>
  <c r="A145" i="14"/>
  <c r="C144" i="14"/>
  <c r="A144" i="14"/>
  <c r="C143" i="14"/>
  <c r="A143" i="14"/>
  <c r="C142" i="14"/>
  <c r="A142" i="14"/>
  <c r="A141" i="14"/>
  <c r="C140" i="14"/>
  <c r="A140" i="14"/>
  <c r="C139" i="14"/>
  <c r="A139" i="14"/>
  <c r="C138" i="14"/>
  <c r="A138" i="14"/>
  <c r="C137" i="14"/>
  <c r="A137" i="14"/>
  <c r="C136" i="14"/>
  <c r="A136" i="14"/>
  <c r="C135" i="14"/>
  <c r="A135" i="14"/>
  <c r="C134" i="14"/>
  <c r="A134" i="14"/>
  <c r="C133" i="14"/>
  <c r="A133" i="14"/>
  <c r="C132" i="14"/>
  <c r="A132" i="14"/>
  <c r="C131" i="14"/>
  <c r="A131" i="14"/>
  <c r="C130" i="14"/>
  <c r="A130" i="14"/>
  <c r="C129" i="14"/>
  <c r="A129" i="14"/>
  <c r="C128" i="14"/>
  <c r="A128" i="14"/>
  <c r="C127" i="14"/>
  <c r="A127" i="14"/>
  <c r="C126" i="14"/>
  <c r="A126" i="14"/>
  <c r="C125" i="14"/>
  <c r="A125" i="14"/>
  <c r="C124" i="14"/>
  <c r="A124" i="14"/>
  <c r="C123" i="14"/>
  <c r="A123" i="14"/>
  <c r="C122" i="14"/>
  <c r="A122" i="14"/>
  <c r="C121" i="14"/>
  <c r="A121" i="14"/>
  <c r="C120" i="14"/>
  <c r="A120" i="14"/>
  <c r="C119" i="14"/>
  <c r="A119" i="14"/>
  <c r="C118" i="14"/>
  <c r="A118" i="14"/>
  <c r="C117" i="14"/>
  <c r="A117" i="14"/>
  <c r="C116" i="14"/>
  <c r="A116" i="14"/>
  <c r="C115" i="14"/>
  <c r="A115" i="14"/>
  <c r="C114" i="14"/>
  <c r="A114" i="14"/>
  <c r="C113" i="14"/>
  <c r="A113" i="14"/>
  <c r="C112" i="14"/>
  <c r="A112" i="14"/>
  <c r="C111" i="14"/>
  <c r="A111" i="14"/>
  <c r="C110" i="14"/>
  <c r="A110" i="14"/>
  <c r="C109" i="14"/>
  <c r="A109" i="14"/>
  <c r="C108" i="14"/>
  <c r="A108" i="14"/>
  <c r="C107" i="14"/>
  <c r="A107" i="14"/>
  <c r="C106" i="14"/>
  <c r="A106" i="14"/>
  <c r="C105" i="14"/>
  <c r="A105" i="14"/>
  <c r="C104" i="14"/>
  <c r="A104" i="14"/>
  <c r="C103" i="14"/>
  <c r="A103" i="14"/>
  <c r="C102" i="14"/>
  <c r="A102" i="14"/>
  <c r="C101" i="14"/>
  <c r="A101" i="14"/>
  <c r="C100" i="14"/>
  <c r="A100" i="14"/>
  <c r="C99" i="14"/>
  <c r="A99" i="14"/>
  <c r="C98" i="14"/>
  <c r="A98" i="14"/>
  <c r="C97" i="14"/>
  <c r="A97" i="14"/>
  <c r="C96" i="14"/>
  <c r="A96" i="14"/>
  <c r="C95" i="14"/>
  <c r="A95" i="14"/>
  <c r="C94" i="14"/>
  <c r="A94" i="14"/>
  <c r="C93" i="14"/>
  <c r="A93" i="14"/>
  <c r="C92" i="14"/>
  <c r="A92" i="14"/>
  <c r="C91" i="14"/>
  <c r="A91" i="14"/>
  <c r="C90" i="14"/>
  <c r="A90" i="14"/>
  <c r="C89" i="14"/>
  <c r="A89" i="14"/>
  <c r="C88" i="14"/>
  <c r="A88" i="14"/>
  <c r="C87" i="14"/>
  <c r="A87" i="14"/>
  <c r="C86" i="14"/>
  <c r="A86" i="14"/>
  <c r="C85" i="14"/>
  <c r="A85" i="14"/>
  <c r="C84" i="14"/>
  <c r="A84" i="14"/>
  <c r="C83" i="14"/>
  <c r="A83" i="14"/>
  <c r="C82" i="14"/>
  <c r="A82" i="14"/>
  <c r="C81" i="14"/>
  <c r="A81" i="14"/>
  <c r="C80" i="14"/>
  <c r="A80" i="14"/>
  <c r="C79" i="14"/>
  <c r="A79" i="14"/>
  <c r="C78" i="14"/>
  <c r="A78" i="14"/>
  <c r="C77" i="14"/>
  <c r="A77" i="14"/>
  <c r="C76" i="14"/>
  <c r="A76" i="14"/>
  <c r="C75" i="14"/>
  <c r="A75" i="14"/>
  <c r="C74" i="14"/>
  <c r="A74" i="14"/>
  <c r="C73" i="14"/>
  <c r="A73" i="14"/>
  <c r="C72" i="14"/>
  <c r="A72" i="14"/>
  <c r="C71" i="14"/>
  <c r="A71" i="14"/>
  <c r="C70" i="14"/>
  <c r="A70" i="14"/>
  <c r="C69" i="14"/>
  <c r="A69" i="14"/>
  <c r="C68" i="14"/>
  <c r="A68" i="14"/>
  <c r="C67" i="14"/>
  <c r="A67" i="14"/>
  <c r="C66" i="14"/>
  <c r="A66" i="14"/>
  <c r="C65" i="14"/>
  <c r="A65" i="14"/>
  <c r="C64" i="14"/>
  <c r="A64" i="14"/>
  <c r="C63" i="14"/>
  <c r="A63" i="14"/>
  <c r="C62" i="14"/>
  <c r="A62" i="14"/>
  <c r="C61" i="14"/>
  <c r="A61" i="14"/>
  <c r="C60" i="14"/>
  <c r="A60" i="14"/>
  <c r="C59" i="14"/>
  <c r="A59" i="14"/>
  <c r="C58" i="14"/>
  <c r="A58" i="14"/>
  <c r="C57" i="14"/>
  <c r="A57" i="14"/>
  <c r="C56" i="14"/>
  <c r="A56" i="14"/>
  <c r="C55" i="14"/>
  <c r="A55" i="14"/>
  <c r="C54" i="14"/>
  <c r="A54" i="14"/>
  <c r="C53" i="14"/>
  <c r="A53" i="14"/>
  <c r="C52" i="14"/>
  <c r="A52" i="14"/>
  <c r="C51" i="14"/>
  <c r="A51" i="14"/>
  <c r="C50" i="14"/>
  <c r="A50" i="14"/>
  <c r="C49" i="14"/>
  <c r="A49" i="14"/>
  <c r="C48" i="14"/>
  <c r="A48" i="14"/>
  <c r="C47" i="14"/>
  <c r="A47" i="14"/>
  <c r="C46" i="14"/>
  <c r="A46" i="14"/>
  <c r="C45" i="14"/>
  <c r="A45" i="14"/>
  <c r="C44" i="14"/>
  <c r="A44" i="14"/>
  <c r="C43" i="14"/>
  <c r="A43" i="14"/>
  <c r="C42" i="14"/>
  <c r="A42" i="14"/>
  <c r="C41" i="14"/>
  <c r="A41" i="14"/>
  <c r="C40" i="14"/>
  <c r="A40" i="14"/>
  <c r="C39" i="14"/>
  <c r="A39" i="14"/>
  <c r="C38" i="14"/>
  <c r="A38" i="14"/>
  <c r="C37" i="14"/>
  <c r="A37" i="14"/>
  <c r="C36" i="14"/>
  <c r="A36" i="14"/>
  <c r="C35" i="14"/>
  <c r="A35" i="14"/>
  <c r="C34" i="14"/>
  <c r="A34" i="14"/>
  <c r="C33" i="14"/>
  <c r="A33" i="14"/>
  <c r="C32" i="14"/>
  <c r="A32" i="14"/>
  <c r="C31" i="14"/>
  <c r="A31" i="14"/>
  <c r="C30" i="14"/>
  <c r="A30" i="14"/>
  <c r="C29" i="14"/>
  <c r="A29" i="14"/>
  <c r="C28" i="14"/>
  <c r="A28" i="14"/>
  <c r="C27" i="14"/>
  <c r="A27" i="14"/>
  <c r="C26" i="14"/>
  <c r="A26" i="14"/>
  <c r="C25" i="14"/>
  <c r="A25" i="14"/>
  <c r="C24" i="14"/>
  <c r="A24" i="14"/>
  <c r="C23" i="14"/>
  <c r="A23" i="14"/>
  <c r="C22" i="14"/>
  <c r="A22" i="14"/>
  <c r="C21" i="14"/>
  <c r="A21" i="14"/>
  <c r="C20" i="14"/>
  <c r="A20" i="14"/>
  <c r="A19" i="14"/>
  <c r="C18" i="14"/>
  <c r="A18" i="14"/>
  <c r="C17" i="14"/>
  <c r="A17" i="14"/>
  <c r="C16" i="14"/>
  <c r="A16" i="14"/>
  <c r="A15" i="14"/>
  <c r="C14" i="14"/>
  <c r="A14" i="14"/>
  <c r="C13" i="14"/>
  <c r="A13" i="14"/>
  <c r="C12" i="14"/>
  <c r="A12" i="14"/>
  <c r="C11" i="14"/>
  <c r="A11" i="14"/>
  <c r="C10" i="14"/>
  <c r="A10" i="14"/>
  <c r="C9" i="14"/>
  <c r="A9" i="14"/>
  <c r="C8" i="14"/>
  <c r="A8" i="14"/>
  <c r="C7" i="14"/>
  <c r="A7" i="14"/>
  <c r="C6" i="14"/>
  <c r="A6" i="14"/>
  <c r="A5" i="14"/>
  <c r="C4" i="14"/>
  <c r="A4" i="14"/>
  <c r="A3" i="14"/>
  <c r="A2" i="14"/>
  <c r="C321" i="13"/>
  <c r="A321" i="13"/>
  <c r="C320" i="13"/>
  <c r="A320" i="13"/>
  <c r="C319" i="13"/>
  <c r="A319" i="13"/>
  <c r="C318" i="13"/>
  <c r="A318" i="13"/>
  <c r="C317" i="13"/>
  <c r="A317" i="13"/>
  <c r="C316" i="13"/>
  <c r="A316" i="13"/>
  <c r="C315" i="13"/>
  <c r="A315" i="13"/>
  <c r="C314" i="13"/>
  <c r="A314" i="13"/>
  <c r="C313" i="13"/>
  <c r="A313" i="13"/>
  <c r="C312" i="13"/>
  <c r="A312" i="13"/>
  <c r="C311" i="13"/>
  <c r="A311" i="13"/>
  <c r="C310" i="13"/>
  <c r="A310" i="13"/>
  <c r="C309" i="13"/>
  <c r="A309" i="13"/>
  <c r="C308" i="13"/>
  <c r="A308" i="13"/>
  <c r="C307" i="13"/>
  <c r="A307" i="13"/>
  <c r="A306" i="13"/>
  <c r="C305" i="13"/>
  <c r="A305" i="13"/>
  <c r="C304" i="13"/>
  <c r="A304" i="13"/>
  <c r="C303" i="13"/>
  <c r="A303" i="13"/>
  <c r="C302" i="13"/>
  <c r="A302" i="13"/>
  <c r="C301" i="13"/>
  <c r="A301" i="13"/>
  <c r="C300" i="13"/>
  <c r="A300" i="13"/>
  <c r="C299" i="13"/>
  <c r="A299" i="13"/>
  <c r="C298" i="13"/>
  <c r="A298" i="13"/>
  <c r="C297" i="13"/>
  <c r="A297" i="13"/>
  <c r="C296" i="13"/>
  <c r="A296" i="13"/>
  <c r="C295" i="13"/>
  <c r="A295" i="13"/>
  <c r="C294" i="13"/>
  <c r="A294" i="13"/>
  <c r="C293" i="13"/>
  <c r="A293" i="13"/>
  <c r="C292" i="13"/>
  <c r="A292" i="13"/>
  <c r="C291" i="13"/>
  <c r="A291" i="13"/>
  <c r="C290" i="13"/>
  <c r="A290" i="13"/>
  <c r="C289" i="13"/>
  <c r="A289" i="13"/>
  <c r="C288" i="13"/>
  <c r="A288" i="13"/>
  <c r="C287" i="13"/>
  <c r="A287" i="13"/>
  <c r="C286" i="13"/>
  <c r="A286" i="13"/>
  <c r="C285" i="13"/>
  <c r="A285" i="13"/>
  <c r="C284" i="13"/>
  <c r="A284" i="13"/>
  <c r="C283" i="13"/>
  <c r="A283" i="13"/>
  <c r="C282" i="13"/>
  <c r="A282" i="13"/>
  <c r="C281" i="13"/>
  <c r="A281" i="13"/>
  <c r="C280" i="13"/>
  <c r="A280" i="13"/>
  <c r="C279" i="13"/>
  <c r="A279" i="13"/>
  <c r="C278" i="13"/>
  <c r="A278" i="13"/>
  <c r="C277" i="13"/>
  <c r="A277" i="13"/>
  <c r="C276" i="13"/>
  <c r="A276" i="13"/>
  <c r="C275" i="13"/>
  <c r="A275" i="13"/>
  <c r="C274" i="13"/>
  <c r="A274" i="13"/>
  <c r="C273" i="13"/>
  <c r="A273" i="13"/>
  <c r="C272" i="13"/>
  <c r="A272" i="13"/>
  <c r="C271" i="13"/>
  <c r="A271" i="13"/>
  <c r="C270" i="13"/>
  <c r="A270" i="13"/>
  <c r="C269" i="13"/>
  <c r="A269" i="13"/>
  <c r="C268" i="13"/>
  <c r="A268" i="13"/>
  <c r="C267" i="13"/>
  <c r="A267" i="13"/>
  <c r="C266" i="13"/>
  <c r="A266" i="13"/>
  <c r="C265" i="13"/>
  <c r="A265" i="13"/>
  <c r="C264" i="13"/>
  <c r="A264" i="13"/>
  <c r="C263" i="13"/>
  <c r="A263" i="13"/>
  <c r="C262" i="13"/>
  <c r="A262" i="13"/>
  <c r="C261" i="13"/>
  <c r="A261" i="13"/>
  <c r="C260" i="13"/>
  <c r="A260" i="13"/>
  <c r="C259" i="13"/>
  <c r="A259" i="13"/>
  <c r="C258" i="13"/>
  <c r="A258" i="13"/>
  <c r="C257" i="13"/>
  <c r="A257" i="13"/>
  <c r="C256" i="13"/>
  <c r="A256" i="13"/>
  <c r="C255" i="13"/>
  <c r="A255" i="13"/>
  <c r="C254" i="13"/>
  <c r="A254" i="13"/>
  <c r="C253" i="13"/>
  <c r="A253" i="13"/>
  <c r="C252" i="13"/>
  <c r="A252" i="13"/>
  <c r="C251" i="13"/>
  <c r="A251" i="13"/>
  <c r="C250" i="13"/>
  <c r="A250" i="13"/>
  <c r="C249" i="13"/>
  <c r="A249" i="13"/>
  <c r="C248" i="13"/>
  <c r="A248" i="13"/>
  <c r="C247" i="13"/>
  <c r="A247" i="13"/>
  <c r="C246" i="13"/>
  <c r="A246" i="13"/>
  <c r="C245" i="13"/>
  <c r="A245" i="13"/>
  <c r="C244" i="13"/>
  <c r="A244" i="13"/>
  <c r="C243" i="13"/>
  <c r="A243" i="13"/>
  <c r="C242" i="13"/>
  <c r="A242" i="13"/>
  <c r="C241" i="13"/>
  <c r="A241" i="13"/>
  <c r="C240" i="13"/>
  <c r="A240" i="13"/>
  <c r="C239" i="13"/>
  <c r="A239" i="13"/>
  <c r="C238" i="13"/>
  <c r="A238" i="13"/>
  <c r="C237" i="13"/>
  <c r="A237" i="13"/>
  <c r="C236" i="13"/>
  <c r="A236" i="13"/>
  <c r="C235" i="13"/>
  <c r="A235" i="13"/>
  <c r="C234" i="13"/>
  <c r="A234" i="13"/>
  <c r="C233" i="13"/>
  <c r="A233" i="13"/>
  <c r="C232" i="13"/>
  <c r="A232" i="13"/>
  <c r="C231" i="13"/>
  <c r="A231" i="13"/>
  <c r="C230" i="13"/>
  <c r="A230" i="13"/>
  <c r="C229" i="13"/>
  <c r="A229" i="13"/>
  <c r="C228" i="13"/>
  <c r="A228" i="13"/>
  <c r="C227" i="13"/>
  <c r="A227" i="13"/>
  <c r="C226" i="13"/>
  <c r="A226" i="13"/>
  <c r="C225" i="13"/>
  <c r="A225" i="13"/>
  <c r="C224" i="13"/>
  <c r="A224" i="13"/>
  <c r="C223" i="13"/>
  <c r="A223" i="13"/>
  <c r="C222" i="13"/>
  <c r="A222" i="13"/>
  <c r="C221" i="13"/>
  <c r="A221" i="13"/>
  <c r="C220" i="13"/>
  <c r="A220" i="13"/>
  <c r="C219" i="13"/>
  <c r="A219" i="13"/>
  <c r="C218" i="13"/>
  <c r="A218" i="13"/>
  <c r="C217" i="13"/>
  <c r="A217" i="13"/>
  <c r="C216" i="13"/>
  <c r="A216" i="13"/>
  <c r="C215" i="13"/>
  <c r="A215" i="13"/>
  <c r="C214" i="13"/>
  <c r="A214" i="13"/>
  <c r="C213" i="13"/>
  <c r="A213" i="13"/>
  <c r="C212" i="13"/>
  <c r="A212" i="13"/>
  <c r="C211" i="13"/>
  <c r="A211" i="13"/>
  <c r="C210" i="13"/>
  <c r="A210" i="13"/>
  <c r="C209" i="13"/>
  <c r="A209" i="13"/>
  <c r="C208" i="13"/>
  <c r="A208" i="13"/>
  <c r="C207" i="13"/>
  <c r="A207" i="13"/>
  <c r="C206" i="13"/>
  <c r="A206" i="13"/>
  <c r="C205" i="13"/>
  <c r="A205" i="13"/>
  <c r="C204" i="13"/>
  <c r="A204" i="13"/>
  <c r="C203" i="13"/>
  <c r="A203" i="13"/>
  <c r="C202" i="13"/>
  <c r="A202" i="13"/>
  <c r="C201" i="13"/>
  <c r="A201" i="13"/>
  <c r="C200" i="13"/>
  <c r="A200" i="13"/>
  <c r="C199" i="13"/>
  <c r="A199" i="13"/>
  <c r="C198" i="13"/>
  <c r="A198" i="13"/>
  <c r="C197" i="13"/>
  <c r="A197" i="13"/>
  <c r="C196" i="13"/>
  <c r="A196" i="13"/>
  <c r="C195" i="13"/>
  <c r="A195" i="13"/>
  <c r="C194" i="13"/>
  <c r="A194" i="13"/>
  <c r="C193" i="13"/>
  <c r="A193" i="13"/>
  <c r="C192" i="13"/>
  <c r="A192" i="13"/>
  <c r="C191" i="13"/>
  <c r="A191" i="13"/>
  <c r="C190" i="13"/>
  <c r="A190" i="13"/>
  <c r="C189" i="13"/>
  <c r="A189" i="13"/>
  <c r="C188" i="13"/>
  <c r="A188" i="13"/>
  <c r="C187" i="13"/>
  <c r="A187" i="13"/>
  <c r="C186" i="13"/>
  <c r="A186" i="13"/>
  <c r="C185" i="13"/>
  <c r="A185" i="13"/>
  <c r="C184" i="13"/>
  <c r="A184" i="13"/>
  <c r="C183" i="13"/>
  <c r="A183" i="13"/>
  <c r="C182" i="13"/>
  <c r="A182" i="13"/>
  <c r="C181" i="13"/>
  <c r="A181" i="13"/>
  <c r="C180" i="13"/>
  <c r="A180" i="13"/>
  <c r="C179" i="13"/>
  <c r="A179" i="13"/>
  <c r="C178" i="13"/>
  <c r="A178" i="13"/>
  <c r="C177" i="13"/>
  <c r="A177" i="13"/>
  <c r="C176" i="13"/>
  <c r="A176" i="13"/>
  <c r="C175" i="13"/>
  <c r="A175" i="13"/>
  <c r="C174" i="13"/>
  <c r="A174" i="13"/>
  <c r="C173" i="13"/>
  <c r="A173" i="13"/>
  <c r="C172" i="13"/>
  <c r="A172" i="13"/>
  <c r="C171" i="13"/>
  <c r="A171" i="13"/>
  <c r="C170" i="13"/>
  <c r="A170" i="13"/>
  <c r="A169" i="13"/>
  <c r="C168" i="13"/>
  <c r="A168" i="13"/>
  <c r="C167" i="13"/>
  <c r="A167" i="13"/>
  <c r="C166" i="13"/>
  <c r="A166" i="13"/>
  <c r="C165" i="13"/>
  <c r="A165" i="13"/>
  <c r="C164" i="13"/>
  <c r="A164" i="13"/>
  <c r="C163" i="13"/>
  <c r="A163" i="13"/>
  <c r="C162" i="13"/>
  <c r="A162" i="13"/>
  <c r="C161" i="13"/>
  <c r="A161" i="13"/>
  <c r="C160" i="13"/>
  <c r="A160" i="13"/>
  <c r="C159" i="13"/>
  <c r="A159" i="13"/>
  <c r="C158" i="13"/>
  <c r="A158" i="13"/>
  <c r="C157" i="13"/>
  <c r="A157" i="13"/>
  <c r="C156" i="13"/>
  <c r="A156" i="13"/>
  <c r="C155" i="13"/>
  <c r="A155" i="13"/>
  <c r="C154" i="13"/>
  <c r="A154" i="13"/>
  <c r="C153" i="13"/>
  <c r="A153" i="13"/>
  <c r="A152" i="13"/>
  <c r="C151" i="13"/>
  <c r="A151" i="13"/>
  <c r="C150" i="13"/>
  <c r="A150" i="13"/>
  <c r="C149" i="13"/>
  <c r="A149" i="13"/>
  <c r="C148" i="13"/>
  <c r="A148" i="13"/>
  <c r="C147" i="13"/>
  <c r="A147" i="13"/>
  <c r="C146" i="13"/>
  <c r="A146" i="13"/>
  <c r="C145" i="13"/>
  <c r="A145" i="13"/>
  <c r="C144" i="13"/>
  <c r="A144" i="13"/>
  <c r="C143" i="13"/>
  <c r="A143" i="13"/>
  <c r="C142" i="13"/>
  <c r="A142" i="13"/>
  <c r="C141" i="13"/>
  <c r="A141" i="13"/>
  <c r="C140" i="13"/>
  <c r="A140" i="13"/>
  <c r="C139" i="13"/>
  <c r="A139" i="13"/>
  <c r="C138" i="13"/>
  <c r="A138" i="13"/>
  <c r="C137" i="13"/>
  <c r="A137" i="13"/>
  <c r="C136" i="13"/>
  <c r="A136" i="13"/>
  <c r="C135" i="13"/>
  <c r="A135" i="13"/>
  <c r="C134" i="13"/>
  <c r="A134" i="13"/>
  <c r="C133" i="13"/>
  <c r="A133" i="13"/>
  <c r="A132" i="13"/>
  <c r="C131" i="13"/>
  <c r="A131" i="13"/>
  <c r="C130" i="13"/>
  <c r="A130" i="13"/>
  <c r="C129" i="13"/>
  <c r="A129" i="13"/>
  <c r="C128" i="13"/>
  <c r="A128" i="13"/>
  <c r="C127" i="13"/>
  <c r="A127" i="13"/>
  <c r="C126" i="13"/>
  <c r="A126" i="13"/>
  <c r="C125" i="13"/>
  <c r="A125" i="13"/>
  <c r="C124" i="13"/>
  <c r="A124" i="13"/>
  <c r="C123" i="13"/>
  <c r="A123" i="13"/>
  <c r="C122" i="13"/>
  <c r="A122" i="13"/>
  <c r="C121" i="13"/>
  <c r="A121" i="13"/>
  <c r="C120" i="13"/>
  <c r="A120" i="13"/>
  <c r="C119" i="13"/>
  <c r="A119" i="13"/>
  <c r="C118" i="13"/>
  <c r="A118" i="13"/>
  <c r="C117" i="13"/>
  <c r="A117" i="13"/>
  <c r="C116" i="13"/>
  <c r="A116" i="13"/>
  <c r="C115" i="13"/>
  <c r="A115" i="13"/>
  <c r="C114" i="13"/>
  <c r="A114" i="13"/>
  <c r="C113" i="13"/>
  <c r="A113" i="13"/>
  <c r="C112" i="13"/>
  <c r="A112" i="13"/>
  <c r="C111" i="13"/>
  <c r="A111" i="13"/>
  <c r="C110" i="13"/>
  <c r="A110" i="13"/>
  <c r="C109" i="13"/>
  <c r="A109" i="13"/>
  <c r="C108" i="13"/>
  <c r="A108" i="13"/>
  <c r="C107" i="13"/>
  <c r="A107" i="13"/>
  <c r="C106" i="13"/>
  <c r="A106" i="13"/>
  <c r="C105" i="13"/>
  <c r="A105" i="13"/>
  <c r="C104" i="13"/>
  <c r="A104" i="13"/>
  <c r="C103" i="13"/>
  <c r="A103" i="13"/>
  <c r="C102" i="13"/>
  <c r="A102" i="13"/>
  <c r="C101" i="13"/>
  <c r="A101" i="13"/>
  <c r="C100" i="13"/>
  <c r="A100" i="13"/>
  <c r="C99" i="13"/>
  <c r="A99" i="13"/>
  <c r="C98" i="13"/>
  <c r="A98" i="13"/>
  <c r="C97" i="13"/>
  <c r="A97" i="13"/>
  <c r="C96" i="13"/>
  <c r="A96" i="13"/>
  <c r="C95" i="13"/>
  <c r="A95" i="13"/>
  <c r="C94" i="13"/>
  <c r="A94" i="13"/>
  <c r="C93" i="13"/>
  <c r="A93" i="13"/>
  <c r="C92" i="13"/>
  <c r="A92" i="13"/>
  <c r="C91" i="13"/>
  <c r="A91" i="13"/>
  <c r="C90" i="13"/>
  <c r="A90" i="13"/>
  <c r="C89" i="13"/>
  <c r="A89" i="13"/>
  <c r="C88" i="13"/>
  <c r="A88" i="13"/>
  <c r="C87" i="13"/>
  <c r="A87" i="13"/>
  <c r="C86" i="13"/>
  <c r="A86" i="13"/>
  <c r="C85" i="13"/>
  <c r="A85" i="13"/>
  <c r="C84" i="13"/>
  <c r="A84" i="13"/>
  <c r="C83" i="13"/>
  <c r="A83" i="13"/>
  <c r="C82" i="13"/>
  <c r="A82" i="13"/>
  <c r="C81" i="13"/>
  <c r="A81" i="13"/>
  <c r="C80" i="13"/>
  <c r="A80" i="13"/>
  <c r="C79" i="13"/>
  <c r="A79" i="13"/>
  <c r="C78" i="13"/>
  <c r="A78" i="13"/>
  <c r="C77" i="13"/>
  <c r="A77" i="13"/>
  <c r="C76" i="13"/>
  <c r="A76" i="13"/>
  <c r="C75" i="13"/>
  <c r="A75" i="13"/>
  <c r="C74" i="13"/>
  <c r="A74" i="13"/>
  <c r="C73" i="13"/>
  <c r="A73" i="13"/>
  <c r="C72" i="13"/>
  <c r="A72" i="13"/>
  <c r="C71" i="13"/>
  <c r="A71" i="13"/>
  <c r="C70" i="13"/>
  <c r="A70" i="13"/>
  <c r="C69" i="13"/>
  <c r="A69" i="13"/>
  <c r="C68" i="13"/>
  <c r="A68" i="13"/>
  <c r="C67" i="13"/>
  <c r="A67" i="13"/>
  <c r="C66" i="13"/>
  <c r="A66" i="13"/>
  <c r="C65" i="13"/>
  <c r="A65" i="13"/>
  <c r="C64" i="13"/>
  <c r="A64" i="13"/>
  <c r="C63" i="13"/>
  <c r="A63" i="13"/>
  <c r="C62" i="13"/>
  <c r="A62" i="13"/>
  <c r="C61" i="13"/>
  <c r="A61" i="13"/>
  <c r="C60" i="13"/>
  <c r="A60" i="13"/>
  <c r="C59" i="13"/>
  <c r="A59" i="13"/>
  <c r="C58" i="13"/>
  <c r="A58" i="13"/>
  <c r="C57" i="13"/>
  <c r="A57" i="13"/>
  <c r="C56" i="13"/>
  <c r="A56" i="13"/>
  <c r="C55" i="13"/>
  <c r="A55" i="13"/>
  <c r="C54" i="13"/>
  <c r="A54" i="13"/>
  <c r="C53" i="13"/>
  <c r="A53" i="13"/>
  <c r="C52" i="13"/>
  <c r="A52" i="13"/>
  <c r="C51" i="13"/>
  <c r="A51" i="13"/>
  <c r="C50" i="13"/>
  <c r="A50" i="13"/>
  <c r="C49" i="13"/>
  <c r="A49" i="13"/>
  <c r="C48" i="13"/>
  <c r="A48" i="13"/>
  <c r="C47" i="13"/>
  <c r="A47" i="13"/>
  <c r="C46" i="13"/>
  <c r="A46" i="13"/>
  <c r="C45" i="13"/>
  <c r="A45" i="13"/>
  <c r="C44" i="13"/>
  <c r="A44" i="13"/>
  <c r="C43" i="13"/>
  <c r="A43" i="13"/>
  <c r="C42" i="13"/>
  <c r="A42" i="13"/>
  <c r="C41" i="13"/>
  <c r="A41" i="13"/>
  <c r="C40" i="13"/>
  <c r="A40" i="13"/>
  <c r="C39" i="13"/>
  <c r="A39" i="13"/>
  <c r="C38" i="13"/>
  <c r="A38" i="13"/>
  <c r="C37" i="13"/>
  <c r="A37" i="13"/>
  <c r="C36" i="13"/>
  <c r="A36" i="13"/>
  <c r="C35" i="13"/>
  <c r="A35" i="13"/>
  <c r="C34" i="13"/>
  <c r="A34" i="13"/>
  <c r="C33" i="13"/>
  <c r="A33" i="13"/>
  <c r="C32" i="13"/>
  <c r="A32" i="13"/>
  <c r="C31" i="13"/>
  <c r="A31" i="13"/>
  <c r="C30" i="13"/>
  <c r="A30" i="13"/>
  <c r="C29" i="13"/>
  <c r="A29" i="13"/>
  <c r="C28" i="13"/>
  <c r="A28" i="13"/>
  <c r="C27" i="13"/>
  <c r="A27" i="13"/>
  <c r="C26" i="13"/>
  <c r="A26" i="13"/>
  <c r="C25" i="13"/>
  <c r="A25" i="13"/>
  <c r="C24" i="13"/>
  <c r="A24" i="13"/>
  <c r="C23" i="13"/>
  <c r="A23" i="13"/>
  <c r="C22" i="13"/>
  <c r="A22" i="13"/>
  <c r="C21" i="13"/>
  <c r="A21" i="13"/>
  <c r="C20" i="13"/>
  <c r="A20" i="13"/>
  <c r="C19" i="13"/>
  <c r="A19" i="13"/>
  <c r="C18" i="13"/>
  <c r="A18" i="13"/>
  <c r="C17" i="13"/>
  <c r="A17" i="13"/>
  <c r="C16" i="13"/>
  <c r="A16" i="13"/>
  <c r="C15" i="13"/>
  <c r="A15" i="13"/>
  <c r="C14" i="13"/>
  <c r="A14" i="13"/>
  <c r="C13" i="13"/>
  <c r="A13" i="13"/>
  <c r="C12" i="13"/>
  <c r="A12" i="13"/>
  <c r="C11" i="13"/>
  <c r="A11" i="13"/>
  <c r="C10" i="13"/>
  <c r="A10" i="13"/>
  <c r="C9" i="13"/>
  <c r="A9" i="13"/>
  <c r="C8" i="13"/>
  <c r="A8" i="13"/>
  <c r="C7" i="13"/>
  <c r="A7" i="13"/>
  <c r="C6" i="13"/>
  <c r="A6" i="13"/>
  <c r="C5" i="13"/>
  <c r="A5" i="13"/>
  <c r="C4" i="13"/>
  <c r="A4" i="13"/>
  <c r="A3" i="13"/>
  <c r="C2" i="13"/>
  <c r="A2" i="13"/>
  <c r="C105" i="12"/>
  <c r="A105" i="12"/>
  <c r="C104" i="12"/>
  <c r="A104" i="12"/>
  <c r="C103" i="12"/>
  <c r="A103" i="12"/>
  <c r="C102" i="12"/>
  <c r="A102" i="12"/>
  <c r="C101" i="12"/>
  <c r="A101" i="12"/>
  <c r="C100" i="12"/>
  <c r="A100" i="12"/>
  <c r="C99" i="12"/>
  <c r="A99" i="12"/>
  <c r="C98" i="12"/>
  <c r="A98" i="12"/>
  <c r="C97" i="12"/>
  <c r="A97" i="12"/>
  <c r="C96" i="12"/>
  <c r="A96" i="12"/>
  <c r="C95" i="12"/>
  <c r="A95" i="12"/>
  <c r="C94" i="12"/>
  <c r="A94" i="12"/>
  <c r="C93" i="12"/>
  <c r="A93" i="12"/>
  <c r="C92" i="12"/>
  <c r="A92" i="12"/>
  <c r="C91" i="12"/>
  <c r="A91" i="12"/>
  <c r="C90" i="12"/>
  <c r="A90" i="12"/>
  <c r="C89" i="12"/>
  <c r="A89" i="12"/>
  <c r="C88" i="12"/>
  <c r="A88" i="12"/>
  <c r="C87" i="12"/>
  <c r="A87" i="12"/>
  <c r="C86" i="12"/>
  <c r="A86" i="12"/>
  <c r="C85" i="12"/>
  <c r="A85" i="12"/>
  <c r="C84" i="12"/>
  <c r="A84" i="12"/>
  <c r="C83" i="12"/>
  <c r="A83" i="12"/>
  <c r="A82" i="12"/>
  <c r="C81" i="12"/>
  <c r="A81" i="12"/>
  <c r="C80" i="12"/>
  <c r="A80" i="12"/>
  <c r="C79" i="12"/>
  <c r="A79" i="12"/>
  <c r="C78" i="12"/>
  <c r="A78" i="12"/>
  <c r="C77" i="12"/>
  <c r="A77" i="12"/>
  <c r="C76" i="12"/>
  <c r="A76" i="12"/>
  <c r="C75" i="12"/>
  <c r="A75" i="12"/>
  <c r="C74" i="12"/>
  <c r="A74" i="12"/>
  <c r="C73" i="12"/>
  <c r="A73" i="12"/>
  <c r="C72" i="12"/>
  <c r="A72" i="12"/>
  <c r="C71" i="12"/>
  <c r="A71" i="12"/>
  <c r="C70" i="12"/>
  <c r="A70" i="12"/>
  <c r="C69" i="12"/>
  <c r="A69" i="12"/>
  <c r="C68" i="12"/>
  <c r="A68" i="12"/>
  <c r="C67" i="12"/>
  <c r="A67" i="12"/>
  <c r="C66" i="12"/>
  <c r="A66" i="12"/>
  <c r="C65" i="12"/>
  <c r="A65" i="12"/>
  <c r="C64" i="12"/>
  <c r="A64" i="12"/>
  <c r="C63" i="12"/>
  <c r="A63" i="12"/>
  <c r="C62" i="12"/>
  <c r="A62" i="12"/>
  <c r="C61" i="12"/>
  <c r="A61" i="12"/>
  <c r="C60" i="12"/>
  <c r="A60" i="12"/>
  <c r="C59" i="12"/>
  <c r="A59" i="12"/>
  <c r="C58" i="12"/>
  <c r="A58" i="12"/>
  <c r="C57" i="12"/>
  <c r="A57" i="12"/>
  <c r="C56" i="12"/>
  <c r="A56" i="12"/>
  <c r="C55" i="12"/>
  <c r="A55" i="12"/>
  <c r="C54" i="12"/>
  <c r="A54" i="12"/>
  <c r="C53" i="12"/>
  <c r="A53" i="12"/>
  <c r="C52" i="12"/>
  <c r="A52" i="12"/>
  <c r="C51" i="12"/>
  <c r="A51" i="12"/>
  <c r="C50" i="12"/>
  <c r="A50" i="12"/>
  <c r="C49" i="12"/>
  <c r="A49" i="12"/>
  <c r="C48" i="12"/>
  <c r="A48" i="12"/>
  <c r="C47" i="12"/>
  <c r="A47" i="12"/>
  <c r="C46" i="12"/>
  <c r="A46" i="12"/>
  <c r="C45" i="12"/>
  <c r="A45" i="12"/>
  <c r="C44" i="12"/>
  <c r="A44" i="12"/>
  <c r="C43" i="12"/>
  <c r="A43" i="12"/>
  <c r="C42" i="12"/>
  <c r="A42" i="12"/>
  <c r="C41" i="12"/>
  <c r="A41" i="12"/>
  <c r="C40" i="12"/>
  <c r="A40" i="12"/>
  <c r="C39" i="12"/>
  <c r="A39" i="12"/>
  <c r="C38" i="12"/>
  <c r="A38" i="12"/>
  <c r="C37" i="12"/>
  <c r="A37" i="12"/>
  <c r="C36" i="12"/>
  <c r="A36" i="12"/>
  <c r="C35" i="12"/>
  <c r="A35" i="12"/>
  <c r="C34" i="12"/>
  <c r="A34" i="12"/>
  <c r="C33" i="12"/>
  <c r="A33" i="12"/>
  <c r="C32" i="12"/>
  <c r="A32" i="12"/>
  <c r="C31" i="12"/>
  <c r="A31" i="12"/>
  <c r="C30" i="12"/>
  <c r="A30" i="12"/>
  <c r="C29" i="12"/>
  <c r="A29" i="12"/>
  <c r="C28" i="12"/>
  <c r="A28" i="12"/>
  <c r="C27" i="12"/>
  <c r="A27" i="12"/>
  <c r="C26" i="12"/>
  <c r="A26" i="12"/>
  <c r="C25" i="12"/>
  <c r="A25" i="12"/>
  <c r="C24" i="12"/>
  <c r="A24" i="12"/>
  <c r="C23" i="12"/>
  <c r="A23" i="12"/>
  <c r="C22" i="12"/>
  <c r="A22" i="12"/>
  <c r="C21" i="12"/>
  <c r="A21" i="12"/>
  <c r="C20" i="12"/>
  <c r="A20" i="12"/>
  <c r="C19" i="12"/>
  <c r="A19" i="12"/>
  <c r="C18" i="12"/>
  <c r="A18" i="12"/>
  <c r="C17" i="12"/>
  <c r="A17" i="12"/>
  <c r="C16" i="12"/>
  <c r="A16" i="12"/>
  <c r="C15" i="12"/>
  <c r="A15" i="12"/>
  <c r="C14" i="12"/>
  <c r="A14" i="12"/>
  <c r="C13" i="12"/>
  <c r="A13" i="12"/>
  <c r="C12" i="12"/>
  <c r="A12" i="12"/>
  <c r="C11" i="12"/>
  <c r="A11" i="12"/>
  <c r="C10" i="12"/>
  <c r="A10" i="12"/>
  <c r="C9" i="12"/>
  <c r="A9" i="12"/>
  <c r="C8" i="12"/>
  <c r="A8" i="12"/>
  <c r="C7" i="12"/>
  <c r="A7" i="12"/>
  <c r="C6" i="12"/>
  <c r="A6" i="12"/>
  <c r="C5" i="12"/>
  <c r="A5" i="12"/>
  <c r="C4" i="12"/>
  <c r="A4" i="12"/>
  <c r="C3" i="12"/>
  <c r="A3" i="12"/>
  <c r="C2" i="12"/>
  <c r="A2" i="12"/>
  <c r="C186" i="11"/>
  <c r="A186" i="11"/>
  <c r="C185" i="11"/>
  <c r="A185" i="11"/>
  <c r="C184" i="11"/>
  <c r="A184" i="11"/>
  <c r="C183" i="11"/>
  <c r="A183" i="11"/>
  <c r="C182" i="11"/>
  <c r="A182" i="11"/>
  <c r="C181" i="11"/>
  <c r="A181" i="11"/>
  <c r="C180" i="11"/>
  <c r="A180" i="11"/>
  <c r="C179" i="11"/>
  <c r="A179" i="11"/>
  <c r="C178" i="11"/>
  <c r="A178" i="11"/>
  <c r="C177" i="11"/>
  <c r="A177" i="11"/>
  <c r="C176" i="11"/>
  <c r="A176" i="11"/>
  <c r="C175" i="11"/>
  <c r="A175" i="11"/>
  <c r="C174" i="11"/>
  <c r="A174" i="11"/>
  <c r="C173" i="11"/>
  <c r="A173" i="11"/>
  <c r="C172" i="11"/>
  <c r="A172" i="11"/>
  <c r="C171" i="11"/>
  <c r="A171" i="11"/>
  <c r="C170" i="11"/>
  <c r="A170" i="11"/>
  <c r="C169" i="11"/>
  <c r="A169" i="11"/>
  <c r="C168" i="11"/>
  <c r="A168" i="11"/>
  <c r="C167" i="11"/>
  <c r="A167" i="11"/>
  <c r="C166" i="11"/>
  <c r="A166" i="11"/>
  <c r="C165" i="11"/>
  <c r="A165" i="11"/>
  <c r="C164" i="11"/>
  <c r="A164" i="11"/>
  <c r="C163" i="11"/>
  <c r="A163" i="11"/>
  <c r="C162" i="11"/>
  <c r="A162" i="11"/>
  <c r="C161" i="11"/>
  <c r="A161" i="11"/>
  <c r="C160" i="11"/>
  <c r="A160" i="11"/>
  <c r="C159" i="11"/>
  <c r="A159" i="11"/>
  <c r="C158" i="11"/>
  <c r="A158" i="11"/>
  <c r="C157" i="11"/>
  <c r="A157" i="11"/>
  <c r="C156" i="11"/>
  <c r="A156" i="11"/>
  <c r="C155" i="11"/>
  <c r="A155" i="11"/>
  <c r="C154" i="11"/>
  <c r="A154" i="11"/>
  <c r="C153" i="11"/>
  <c r="A153" i="11"/>
  <c r="C152" i="11"/>
  <c r="A152" i="11"/>
  <c r="C151" i="11"/>
  <c r="A151" i="11"/>
  <c r="C150" i="11"/>
  <c r="A150" i="11"/>
  <c r="C149" i="11"/>
  <c r="A149" i="11"/>
  <c r="C148" i="11"/>
  <c r="A148" i="11"/>
  <c r="C147" i="11"/>
  <c r="A147" i="11"/>
  <c r="C146" i="11"/>
  <c r="A146" i="11"/>
  <c r="C145" i="11"/>
  <c r="A145" i="11"/>
  <c r="C144" i="11"/>
  <c r="A144" i="11"/>
  <c r="C143" i="11"/>
  <c r="A143" i="11"/>
  <c r="C142" i="11"/>
  <c r="A142" i="11"/>
  <c r="C141" i="11"/>
  <c r="A141" i="11"/>
  <c r="C140" i="11"/>
  <c r="A140" i="11"/>
  <c r="C139" i="11"/>
  <c r="A139" i="11"/>
  <c r="C138" i="11"/>
  <c r="A138" i="11"/>
  <c r="C137" i="11"/>
  <c r="A137" i="11"/>
  <c r="C136" i="11"/>
  <c r="A136" i="11"/>
  <c r="C135" i="11"/>
  <c r="A135" i="11"/>
  <c r="C134" i="11"/>
  <c r="A134" i="11"/>
  <c r="C133" i="11"/>
  <c r="A133" i="11"/>
  <c r="C132" i="11"/>
  <c r="A132" i="11"/>
  <c r="C131" i="11"/>
  <c r="A131" i="11"/>
  <c r="C130" i="11"/>
  <c r="A130" i="11"/>
  <c r="C129" i="11"/>
  <c r="A129" i="11"/>
  <c r="C128" i="11"/>
  <c r="A128" i="11"/>
  <c r="C127" i="11"/>
  <c r="A127" i="11"/>
  <c r="C126" i="11"/>
  <c r="A126" i="11"/>
  <c r="C125" i="11"/>
  <c r="A125" i="11"/>
  <c r="C124" i="11"/>
  <c r="A124" i="11"/>
  <c r="C123" i="11"/>
  <c r="A123" i="11"/>
  <c r="C122" i="11"/>
  <c r="A122" i="11"/>
  <c r="C121" i="11"/>
  <c r="A121" i="11"/>
  <c r="C120" i="11"/>
  <c r="A120" i="11"/>
  <c r="C119" i="11"/>
  <c r="A119" i="11"/>
  <c r="C118" i="11"/>
  <c r="A118" i="11"/>
  <c r="C117" i="11"/>
  <c r="A117" i="11"/>
  <c r="C116" i="11"/>
  <c r="A116" i="11"/>
  <c r="C115" i="11"/>
  <c r="A115" i="11"/>
  <c r="C114" i="11"/>
  <c r="A114" i="11"/>
  <c r="C113" i="11"/>
  <c r="A113" i="11"/>
  <c r="C112" i="11"/>
  <c r="A112" i="11"/>
  <c r="C111" i="11"/>
  <c r="A111" i="11"/>
  <c r="C110" i="11"/>
  <c r="A110" i="11"/>
  <c r="C109" i="11"/>
  <c r="A109" i="11"/>
  <c r="C108" i="11"/>
  <c r="A108" i="11"/>
  <c r="C107" i="11"/>
  <c r="A107" i="11"/>
  <c r="C106" i="11"/>
  <c r="A106" i="11"/>
  <c r="C105" i="11"/>
  <c r="A105" i="11"/>
  <c r="C104" i="11"/>
  <c r="A104" i="11"/>
  <c r="C103" i="11"/>
  <c r="A103" i="11"/>
  <c r="C102" i="11"/>
  <c r="A102" i="11"/>
  <c r="C101" i="11"/>
  <c r="A101" i="11"/>
  <c r="C100" i="11"/>
  <c r="A100" i="11"/>
  <c r="C99" i="11"/>
  <c r="A99" i="11"/>
  <c r="C98" i="11"/>
  <c r="A98" i="11"/>
  <c r="C97" i="11"/>
  <c r="A97" i="11"/>
  <c r="C96" i="11"/>
  <c r="A96" i="11"/>
  <c r="C95" i="11"/>
  <c r="A95" i="11"/>
  <c r="C94" i="11"/>
  <c r="A94" i="11"/>
  <c r="C93" i="11"/>
  <c r="A93" i="11"/>
  <c r="C92" i="11"/>
  <c r="A92" i="11"/>
  <c r="C91" i="11"/>
  <c r="A91" i="11"/>
  <c r="C90" i="11"/>
  <c r="A90" i="11"/>
  <c r="C89" i="11"/>
  <c r="A89" i="11"/>
  <c r="C88" i="11"/>
  <c r="A88" i="11"/>
  <c r="C87" i="11"/>
  <c r="A87" i="11"/>
  <c r="C86" i="11"/>
  <c r="A86" i="11"/>
  <c r="C85" i="11"/>
  <c r="A85" i="11"/>
  <c r="C84" i="11"/>
  <c r="A84" i="11"/>
  <c r="C83" i="11"/>
  <c r="A83" i="11"/>
  <c r="C82" i="11"/>
  <c r="A82" i="11"/>
  <c r="C81" i="11"/>
  <c r="A81" i="11"/>
  <c r="C80" i="11"/>
  <c r="A80" i="11"/>
  <c r="C79" i="11"/>
  <c r="A79" i="11"/>
  <c r="C78" i="11"/>
  <c r="A78" i="11"/>
  <c r="C77" i="11"/>
  <c r="A77" i="11"/>
  <c r="C76" i="11"/>
  <c r="A76" i="11"/>
  <c r="C75" i="11"/>
  <c r="A75" i="11"/>
  <c r="C74" i="11"/>
  <c r="A74" i="11"/>
  <c r="C73" i="11"/>
  <c r="A73" i="11"/>
  <c r="C72" i="11"/>
  <c r="A72" i="11"/>
  <c r="C71" i="11"/>
  <c r="A71" i="11"/>
  <c r="C70" i="11"/>
  <c r="A70" i="11"/>
  <c r="C69" i="11"/>
  <c r="A69" i="11"/>
  <c r="C68" i="11"/>
  <c r="A68" i="11"/>
  <c r="C67" i="11"/>
  <c r="A67" i="11"/>
  <c r="C66" i="11"/>
  <c r="A66" i="11"/>
  <c r="C65" i="11"/>
  <c r="A65" i="11"/>
  <c r="C64" i="11"/>
  <c r="A64" i="11"/>
  <c r="C63" i="11"/>
  <c r="A63" i="11"/>
  <c r="C62" i="11"/>
  <c r="A62" i="11"/>
  <c r="C61" i="11"/>
  <c r="A61" i="11"/>
  <c r="A60" i="11"/>
  <c r="C59" i="11"/>
  <c r="A59" i="11"/>
  <c r="C58" i="11"/>
  <c r="A58" i="11"/>
  <c r="C57" i="11"/>
  <c r="A57" i="11"/>
  <c r="C56" i="11"/>
  <c r="A56" i="11"/>
  <c r="C55" i="11"/>
  <c r="A55" i="11"/>
  <c r="C54" i="11"/>
  <c r="A54" i="11"/>
  <c r="C53" i="11"/>
  <c r="A53" i="11"/>
  <c r="C52" i="11"/>
  <c r="A52" i="11"/>
  <c r="C51" i="11"/>
  <c r="A51" i="11"/>
  <c r="C50" i="11"/>
  <c r="A50" i="11"/>
  <c r="C49" i="11"/>
  <c r="A49" i="11"/>
  <c r="C48" i="11"/>
  <c r="A48" i="11"/>
  <c r="C47" i="11"/>
  <c r="A47" i="11"/>
  <c r="C46" i="11"/>
  <c r="A46" i="11"/>
  <c r="C45" i="11"/>
  <c r="A45" i="11"/>
  <c r="C44" i="11"/>
  <c r="A44" i="11"/>
  <c r="C43" i="11"/>
  <c r="A43" i="11"/>
  <c r="C42" i="11"/>
  <c r="A42" i="11"/>
  <c r="C41" i="11"/>
  <c r="A41" i="11"/>
  <c r="C40" i="11"/>
  <c r="A40" i="11"/>
  <c r="A39" i="11"/>
  <c r="C38" i="11"/>
  <c r="A38" i="11"/>
  <c r="C37" i="11"/>
  <c r="A37" i="11"/>
  <c r="C36" i="11"/>
  <c r="A36" i="11"/>
  <c r="C35" i="11"/>
  <c r="A35" i="11"/>
  <c r="C34" i="11"/>
  <c r="A34" i="11"/>
  <c r="C33" i="11"/>
  <c r="A33" i="11"/>
  <c r="C32" i="11"/>
  <c r="A32" i="11"/>
  <c r="C31" i="11"/>
  <c r="A31" i="11"/>
  <c r="C30" i="11"/>
  <c r="A30" i="11"/>
  <c r="C29" i="11"/>
  <c r="A29" i="11"/>
  <c r="C28" i="11"/>
  <c r="A28" i="11"/>
  <c r="C27" i="11"/>
  <c r="A27" i="11"/>
  <c r="C26" i="11"/>
  <c r="A26" i="11"/>
  <c r="C25" i="11"/>
  <c r="A25" i="11"/>
  <c r="C24" i="11"/>
  <c r="A24" i="11"/>
  <c r="C23" i="11"/>
  <c r="A23" i="11"/>
  <c r="C22" i="11"/>
  <c r="A22" i="11"/>
  <c r="C21" i="11"/>
  <c r="A21" i="11"/>
  <c r="C20" i="11"/>
  <c r="A20" i="11"/>
  <c r="C19" i="11"/>
  <c r="A19" i="11"/>
  <c r="C18" i="11"/>
  <c r="A18" i="11"/>
  <c r="C17" i="11"/>
  <c r="A17" i="11"/>
  <c r="C16" i="11"/>
  <c r="A16" i="11"/>
  <c r="C15" i="11"/>
  <c r="A15" i="11"/>
  <c r="C14" i="11"/>
  <c r="A14" i="11"/>
  <c r="C13" i="11"/>
  <c r="A13" i="11"/>
  <c r="C12" i="11"/>
  <c r="A12" i="11"/>
  <c r="C11" i="11"/>
  <c r="A11" i="11"/>
  <c r="C10" i="11"/>
  <c r="A10" i="11"/>
  <c r="C9" i="11"/>
  <c r="A9" i="11"/>
  <c r="C8" i="11"/>
  <c r="A8" i="11"/>
  <c r="C7" i="11"/>
  <c r="A7" i="11"/>
  <c r="C6" i="11"/>
  <c r="A6" i="11"/>
  <c r="C5" i="11"/>
  <c r="A5" i="11"/>
  <c r="C4" i="11"/>
  <c r="A4" i="11"/>
  <c r="C3" i="11"/>
  <c r="A3" i="11"/>
  <c r="C2" i="11"/>
  <c r="A2" i="11"/>
  <c r="C87" i="10"/>
  <c r="A87" i="10"/>
  <c r="C86" i="10"/>
  <c r="A86" i="10"/>
  <c r="C85" i="10"/>
  <c r="A85" i="10"/>
  <c r="C84" i="10"/>
  <c r="A84" i="10"/>
  <c r="C83" i="10"/>
  <c r="A83" i="10"/>
  <c r="C82" i="10"/>
  <c r="A82" i="10"/>
  <c r="C81" i="10"/>
  <c r="A81" i="10"/>
  <c r="C80" i="10"/>
  <c r="A80" i="10"/>
  <c r="C79" i="10"/>
  <c r="A79" i="10"/>
  <c r="C78" i="10"/>
  <c r="A78" i="10"/>
  <c r="C77" i="10"/>
  <c r="A77" i="10"/>
  <c r="C76" i="10"/>
  <c r="A76" i="10"/>
  <c r="C75" i="10"/>
  <c r="A75" i="10"/>
  <c r="C74" i="10"/>
  <c r="A74" i="10"/>
  <c r="C73" i="10"/>
  <c r="A73" i="10"/>
  <c r="C72" i="10"/>
  <c r="A72" i="10"/>
  <c r="C71" i="10"/>
  <c r="A71" i="10"/>
  <c r="C70" i="10"/>
  <c r="A70" i="10"/>
  <c r="C69" i="10"/>
  <c r="A69" i="10"/>
  <c r="C68" i="10"/>
  <c r="A68" i="10"/>
  <c r="C67" i="10"/>
  <c r="A67" i="10"/>
  <c r="C66" i="10"/>
  <c r="A66" i="10"/>
  <c r="C65" i="10"/>
  <c r="A65" i="10"/>
  <c r="C64" i="10"/>
  <c r="A64" i="10"/>
  <c r="C63" i="10"/>
  <c r="A63" i="10"/>
  <c r="C62" i="10"/>
  <c r="A62" i="10"/>
  <c r="C61" i="10"/>
  <c r="A61" i="10"/>
  <c r="C60" i="10"/>
  <c r="A60" i="10"/>
  <c r="C59" i="10"/>
  <c r="A59" i="10"/>
  <c r="C58" i="10"/>
  <c r="A58" i="10"/>
  <c r="C57" i="10"/>
  <c r="A57" i="10"/>
  <c r="C56" i="10"/>
  <c r="A56" i="10"/>
  <c r="C55" i="10"/>
  <c r="A55" i="10"/>
  <c r="C54" i="10"/>
  <c r="A54" i="10"/>
  <c r="C53" i="10"/>
  <c r="A53" i="10"/>
  <c r="C52" i="10"/>
  <c r="A52" i="10"/>
  <c r="C51" i="10"/>
  <c r="A51" i="10"/>
  <c r="C50" i="10"/>
  <c r="A50" i="10"/>
  <c r="C49" i="10"/>
  <c r="A49" i="10"/>
  <c r="C48" i="10"/>
  <c r="A48" i="10"/>
  <c r="C47" i="10"/>
  <c r="A47" i="10"/>
  <c r="C46" i="10"/>
  <c r="A46" i="10"/>
  <c r="C45" i="10"/>
  <c r="A45" i="10"/>
  <c r="C44" i="10"/>
  <c r="A44" i="10"/>
  <c r="C43" i="10"/>
  <c r="A43" i="10"/>
  <c r="C42" i="10"/>
  <c r="A42" i="10"/>
  <c r="C41" i="10"/>
  <c r="A41" i="10"/>
  <c r="C40" i="10"/>
  <c r="A40" i="10"/>
  <c r="C39" i="10"/>
  <c r="A39" i="10"/>
  <c r="C38" i="10"/>
  <c r="A38" i="10"/>
  <c r="C37" i="10"/>
  <c r="A37" i="10"/>
  <c r="C36" i="10"/>
  <c r="A36" i="10"/>
  <c r="C35" i="10"/>
  <c r="A35" i="10"/>
  <c r="C34" i="10"/>
  <c r="A34" i="10"/>
  <c r="C33" i="10"/>
  <c r="A33" i="10"/>
  <c r="C32" i="10"/>
  <c r="A32" i="10"/>
  <c r="C31" i="10"/>
  <c r="A31" i="10"/>
  <c r="C30" i="10"/>
  <c r="A30" i="10"/>
  <c r="C29" i="10"/>
  <c r="A29" i="10"/>
  <c r="C28" i="10"/>
  <c r="A28" i="10"/>
  <c r="C27" i="10"/>
  <c r="A27" i="10"/>
  <c r="C26" i="10"/>
  <c r="A26" i="10"/>
  <c r="C25" i="10"/>
  <c r="A25" i="10"/>
  <c r="C24" i="10"/>
  <c r="A24" i="10"/>
  <c r="C23" i="10"/>
  <c r="A23" i="10"/>
  <c r="C22" i="10"/>
  <c r="A22" i="10"/>
  <c r="C21" i="10"/>
  <c r="A21" i="10"/>
  <c r="C20" i="10"/>
  <c r="A20" i="10"/>
  <c r="C19" i="10"/>
  <c r="A19" i="10"/>
  <c r="C18" i="10"/>
  <c r="A18" i="10"/>
  <c r="C17" i="10"/>
  <c r="A17" i="10"/>
  <c r="C16" i="10"/>
  <c r="A16" i="10"/>
  <c r="C15" i="10"/>
  <c r="A15" i="10"/>
  <c r="C14" i="10"/>
  <c r="A14" i="10"/>
  <c r="C13" i="10"/>
  <c r="A13" i="10"/>
  <c r="C12" i="10"/>
  <c r="A12" i="10"/>
  <c r="C11" i="10"/>
  <c r="A11" i="10"/>
  <c r="C10" i="10"/>
  <c r="A10" i="10"/>
  <c r="C9" i="10"/>
  <c r="A9" i="10"/>
  <c r="C8" i="10"/>
  <c r="A8" i="10"/>
  <c r="C7" i="10"/>
  <c r="A7" i="10"/>
  <c r="C6" i="10"/>
  <c r="A6" i="10"/>
  <c r="C5" i="10"/>
  <c r="A5" i="10"/>
  <c r="C4" i="10"/>
  <c r="A4" i="10"/>
  <c r="C3" i="10"/>
  <c r="A3" i="10"/>
  <c r="C2" i="10"/>
  <c r="A2" i="10"/>
  <c r="C224" i="9"/>
  <c r="A224" i="9"/>
  <c r="C223" i="9"/>
  <c r="A223" i="9"/>
  <c r="C222" i="9"/>
  <c r="A222" i="9"/>
  <c r="C221" i="9"/>
  <c r="A221" i="9"/>
  <c r="C220" i="9"/>
  <c r="A220" i="9"/>
  <c r="C219" i="9"/>
  <c r="A219" i="9"/>
  <c r="C218" i="9"/>
  <c r="A218" i="9"/>
  <c r="C217" i="9"/>
  <c r="A217" i="9"/>
  <c r="C216" i="9"/>
  <c r="A216" i="9"/>
  <c r="C215" i="9"/>
  <c r="A215" i="9"/>
  <c r="C214" i="9"/>
  <c r="A214" i="9"/>
  <c r="C213" i="9"/>
  <c r="A213" i="9"/>
  <c r="C212" i="9"/>
  <c r="A212" i="9"/>
  <c r="C211" i="9"/>
  <c r="A211" i="9"/>
  <c r="C210" i="9"/>
  <c r="A210" i="9"/>
  <c r="C209" i="9"/>
  <c r="A209" i="9"/>
  <c r="C208" i="9"/>
  <c r="A208" i="9"/>
  <c r="C207" i="9"/>
  <c r="A207" i="9"/>
  <c r="C206" i="9"/>
  <c r="A206" i="9"/>
  <c r="C205" i="9"/>
  <c r="A205" i="9"/>
  <c r="C204" i="9"/>
  <c r="A204" i="9"/>
  <c r="C203" i="9"/>
  <c r="A203" i="9"/>
  <c r="C202" i="9"/>
  <c r="A202" i="9"/>
  <c r="C201" i="9"/>
  <c r="A201" i="9"/>
  <c r="C200" i="9"/>
  <c r="A200" i="9"/>
  <c r="C199" i="9"/>
  <c r="A199" i="9"/>
  <c r="C198" i="9"/>
  <c r="A198" i="9"/>
  <c r="C197" i="9"/>
  <c r="A197" i="9"/>
  <c r="C196" i="9"/>
  <c r="A196" i="9"/>
  <c r="C195" i="9"/>
  <c r="A195" i="9"/>
  <c r="C194" i="9"/>
  <c r="A194" i="9"/>
  <c r="C193" i="9"/>
  <c r="A193" i="9"/>
  <c r="C192" i="9"/>
  <c r="A192" i="9"/>
  <c r="C191" i="9"/>
  <c r="A191" i="9"/>
  <c r="C190" i="9"/>
  <c r="A190" i="9"/>
  <c r="C189" i="9"/>
  <c r="A189" i="9"/>
  <c r="C188" i="9"/>
  <c r="A188" i="9"/>
  <c r="C187" i="9"/>
  <c r="A187" i="9"/>
  <c r="C186" i="9"/>
  <c r="A186" i="9"/>
  <c r="C185" i="9"/>
  <c r="A185" i="9"/>
  <c r="C184" i="9"/>
  <c r="A184" i="9"/>
  <c r="C183" i="9"/>
  <c r="A183" i="9"/>
  <c r="C182" i="9"/>
  <c r="A182" i="9"/>
  <c r="C181" i="9"/>
  <c r="A181" i="9"/>
  <c r="C180" i="9"/>
  <c r="A180" i="9"/>
  <c r="C179" i="9"/>
  <c r="A179" i="9"/>
  <c r="C178" i="9"/>
  <c r="A178" i="9"/>
  <c r="C177" i="9"/>
  <c r="A177" i="9"/>
  <c r="C176" i="9"/>
  <c r="A176" i="9"/>
  <c r="C175" i="9"/>
  <c r="A175" i="9"/>
  <c r="C174" i="9"/>
  <c r="A174" i="9"/>
  <c r="C173" i="9"/>
  <c r="A173" i="9"/>
  <c r="C172" i="9"/>
  <c r="A172" i="9"/>
  <c r="C171" i="9"/>
  <c r="A171" i="9"/>
  <c r="C170" i="9"/>
  <c r="A170" i="9"/>
  <c r="C169" i="9"/>
  <c r="A169" i="9"/>
  <c r="C168" i="9"/>
  <c r="A168" i="9"/>
  <c r="C167" i="9"/>
  <c r="A167" i="9"/>
  <c r="C166" i="9"/>
  <c r="A166" i="9"/>
  <c r="C165" i="9"/>
  <c r="A165" i="9"/>
  <c r="C164" i="9"/>
  <c r="A164" i="9"/>
  <c r="C163" i="9"/>
  <c r="A163" i="9"/>
  <c r="C162" i="9"/>
  <c r="A162" i="9"/>
  <c r="C161" i="9"/>
  <c r="A161" i="9"/>
  <c r="C160" i="9"/>
  <c r="A160" i="9"/>
  <c r="C159" i="9"/>
  <c r="A159" i="9"/>
  <c r="C158" i="9"/>
  <c r="A158" i="9"/>
  <c r="C157" i="9"/>
  <c r="A157" i="9"/>
  <c r="C156" i="9"/>
  <c r="A156" i="9"/>
  <c r="C155" i="9"/>
  <c r="A155" i="9"/>
  <c r="C154" i="9"/>
  <c r="A154" i="9"/>
  <c r="C153" i="9"/>
  <c r="A153" i="9"/>
  <c r="C152" i="9"/>
  <c r="A152" i="9"/>
  <c r="C151" i="9"/>
  <c r="A151" i="9"/>
  <c r="C150" i="9"/>
  <c r="A150" i="9"/>
  <c r="C149" i="9"/>
  <c r="A149" i="9"/>
  <c r="C148" i="9"/>
  <c r="A148" i="9"/>
  <c r="C147" i="9"/>
  <c r="A147" i="9"/>
  <c r="C146" i="9"/>
  <c r="A146" i="9"/>
  <c r="C145" i="9"/>
  <c r="A145" i="9"/>
  <c r="C144" i="9"/>
  <c r="A144" i="9"/>
  <c r="C143" i="9"/>
  <c r="A143" i="9"/>
  <c r="C142" i="9"/>
  <c r="A142" i="9"/>
  <c r="C141" i="9"/>
  <c r="A141" i="9"/>
  <c r="C140" i="9"/>
  <c r="A140" i="9"/>
  <c r="C139" i="9"/>
  <c r="A139" i="9"/>
  <c r="C138" i="9"/>
  <c r="A138" i="9"/>
  <c r="C137" i="9"/>
  <c r="A137" i="9"/>
  <c r="C136" i="9"/>
  <c r="A136" i="9"/>
  <c r="C135" i="9"/>
  <c r="A135" i="9"/>
  <c r="C134" i="9"/>
  <c r="A134" i="9"/>
  <c r="C133" i="9"/>
  <c r="A133" i="9"/>
  <c r="C132" i="9"/>
  <c r="A132" i="9"/>
  <c r="C131" i="9"/>
  <c r="A131" i="9"/>
  <c r="C130" i="9"/>
  <c r="A130" i="9"/>
  <c r="C129" i="9"/>
  <c r="A129" i="9"/>
  <c r="C128" i="9"/>
  <c r="A128" i="9"/>
  <c r="C127" i="9"/>
  <c r="A127" i="9"/>
  <c r="C126" i="9"/>
  <c r="A126" i="9"/>
  <c r="C125" i="9"/>
  <c r="A125" i="9"/>
  <c r="C124" i="9"/>
  <c r="A124" i="9"/>
  <c r="C123" i="9"/>
  <c r="A123" i="9"/>
  <c r="C122" i="9"/>
  <c r="A122" i="9"/>
  <c r="C121" i="9"/>
  <c r="A121" i="9"/>
  <c r="C120" i="9"/>
  <c r="A120" i="9"/>
  <c r="C119" i="9"/>
  <c r="A119" i="9"/>
  <c r="C118" i="9"/>
  <c r="A118" i="9"/>
  <c r="C117" i="9"/>
  <c r="A117" i="9"/>
  <c r="C116" i="9"/>
  <c r="A116" i="9"/>
  <c r="C115" i="9"/>
  <c r="A115" i="9"/>
  <c r="C114" i="9"/>
  <c r="A114" i="9"/>
  <c r="C113" i="9"/>
  <c r="A113" i="9"/>
  <c r="C112" i="9"/>
  <c r="A112" i="9"/>
  <c r="C111" i="9"/>
  <c r="A111" i="9"/>
  <c r="C110" i="9"/>
  <c r="A110" i="9"/>
  <c r="C109" i="9"/>
  <c r="A109" i="9"/>
  <c r="C108" i="9"/>
  <c r="A108" i="9"/>
  <c r="C107" i="9"/>
  <c r="A107" i="9"/>
  <c r="C106" i="9"/>
  <c r="A106" i="9"/>
  <c r="C105" i="9"/>
  <c r="A105" i="9"/>
  <c r="C104" i="9"/>
  <c r="A104" i="9"/>
  <c r="C103" i="9"/>
  <c r="A103" i="9"/>
  <c r="C102" i="9"/>
  <c r="A102" i="9"/>
  <c r="C101" i="9"/>
  <c r="A101" i="9"/>
  <c r="C100" i="9"/>
  <c r="A100" i="9"/>
  <c r="C99" i="9"/>
  <c r="A99" i="9"/>
  <c r="C98" i="9"/>
  <c r="A98" i="9"/>
  <c r="C97" i="9"/>
  <c r="A97" i="9"/>
  <c r="C96" i="9"/>
  <c r="A96" i="9"/>
  <c r="C95" i="9"/>
  <c r="A95" i="9"/>
  <c r="C94" i="9"/>
  <c r="A94" i="9"/>
  <c r="C93" i="9"/>
  <c r="A93" i="9"/>
  <c r="C92" i="9"/>
  <c r="A92" i="9"/>
  <c r="C91" i="9"/>
  <c r="A91" i="9"/>
  <c r="C90" i="9"/>
  <c r="A90" i="9"/>
  <c r="C89" i="9"/>
  <c r="A89" i="9"/>
  <c r="C88" i="9"/>
  <c r="A88" i="9"/>
  <c r="C87" i="9"/>
  <c r="A87" i="9"/>
  <c r="C86" i="9"/>
  <c r="A86" i="9"/>
  <c r="C85" i="9"/>
  <c r="A85" i="9"/>
  <c r="C84" i="9"/>
  <c r="A84" i="9"/>
  <c r="C83" i="9"/>
  <c r="A83" i="9"/>
  <c r="C82" i="9"/>
  <c r="A82" i="9"/>
  <c r="C81" i="9"/>
  <c r="A81" i="9"/>
  <c r="C80" i="9"/>
  <c r="A80" i="9"/>
  <c r="C79" i="9"/>
  <c r="A79" i="9"/>
  <c r="C78" i="9"/>
  <c r="A78" i="9"/>
  <c r="C77" i="9"/>
  <c r="A77" i="9"/>
  <c r="C76" i="9"/>
  <c r="A76" i="9"/>
  <c r="C75" i="9"/>
  <c r="A75" i="9"/>
  <c r="C74" i="9"/>
  <c r="A74" i="9"/>
  <c r="C73" i="9"/>
  <c r="A73" i="9"/>
  <c r="A72" i="9"/>
  <c r="C71" i="9"/>
  <c r="A71" i="9"/>
  <c r="C70" i="9"/>
  <c r="A70" i="9"/>
  <c r="C69" i="9"/>
  <c r="A69" i="9"/>
  <c r="C68" i="9"/>
  <c r="A68" i="9"/>
  <c r="C67" i="9"/>
  <c r="A67" i="9"/>
  <c r="C66" i="9"/>
  <c r="A66" i="9"/>
  <c r="C65" i="9"/>
  <c r="A65" i="9"/>
  <c r="C64" i="9"/>
  <c r="A64" i="9"/>
  <c r="C63" i="9"/>
  <c r="A63" i="9"/>
  <c r="C62" i="9"/>
  <c r="A62" i="9"/>
  <c r="C61" i="9"/>
  <c r="A61" i="9"/>
  <c r="C60" i="9"/>
  <c r="A60" i="9"/>
  <c r="C59" i="9"/>
  <c r="A59" i="9"/>
  <c r="C58" i="9"/>
  <c r="A58" i="9"/>
  <c r="C57" i="9"/>
  <c r="A57" i="9"/>
  <c r="C56" i="9"/>
  <c r="A56" i="9"/>
  <c r="C55" i="9"/>
  <c r="A55" i="9"/>
  <c r="C54" i="9"/>
  <c r="A54" i="9"/>
  <c r="C53" i="9"/>
  <c r="A53" i="9"/>
  <c r="C52" i="9"/>
  <c r="A52" i="9"/>
  <c r="C51" i="9"/>
  <c r="A51" i="9"/>
  <c r="C50" i="9"/>
  <c r="A50" i="9"/>
  <c r="C49" i="9"/>
  <c r="A49" i="9"/>
  <c r="C48" i="9"/>
  <c r="A48" i="9"/>
  <c r="C47" i="9"/>
  <c r="A47" i="9"/>
  <c r="C46" i="9"/>
  <c r="A46" i="9"/>
  <c r="C45" i="9"/>
  <c r="A45" i="9"/>
  <c r="C44" i="9"/>
  <c r="A44" i="9"/>
  <c r="C43" i="9"/>
  <c r="A43" i="9"/>
  <c r="C42" i="9"/>
  <c r="A42" i="9"/>
  <c r="C41" i="9"/>
  <c r="A41" i="9"/>
  <c r="C40" i="9"/>
  <c r="A40" i="9"/>
  <c r="C39" i="9"/>
  <c r="A39" i="9"/>
  <c r="C38" i="9"/>
  <c r="A38" i="9"/>
  <c r="C37" i="9"/>
  <c r="A37" i="9"/>
  <c r="C36" i="9"/>
  <c r="A36" i="9"/>
  <c r="C35" i="9"/>
  <c r="A35" i="9"/>
  <c r="C34" i="9"/>
  <c r="A34" i="9"/>
  <c r="C33" i="9"/>
  <c r="A33" i="9"/>
  <c r="C32" i="9"/>
  <c r="A32" i="9"/>
  <c r="C31" i="9"/>
  <c r="A31" i="9"/>
  <c r="C30" i="9"/>
  <c r="A30" i="9"/>
  <c r="C29" i="9"/>
  <c r="A29" i="9"/>
  <c r="C28" i="9"/>
  <c r="A28" i="9"/>
  <c r="C27" i="9"/>
  <c r="A27" i="9"/>
  <c r="C26" i="9"/>
  <c r="A26" i="9"/>
  <c r="C25" i="9"/>
  <c r="A25" i="9"/>
  <c r="C24" i="9"/>
  <c r="A24" i="9"/>
  <c r="C23" i="9"/>
  <c r="A23" i="9"/>
  <c r="C22" i="9"/>
  <c r="A22" i="9"/>
  <c r="C21" i="9"/>
  <c r="A21" i="9"/>
  <c r="C20" i="9"/>
  <c r="A20" i="9"/>
  <c r="C19" i="9"/>
  <c r="A19" i="9"/>
  <c r="C18" i="9"/>
  <c r="A18" i="9"/>
  <c r="C17" i="9"/>
  <c r="A17" i="9"/>
  <c r="C16" i="9"/>
  <c r="A16" i="9"/>
  <c r="C15" i="9"/>
  <c r="A15" i="9"/>
  <c r="C14" i="9"/>
  <c r="A14" i="9"/>
  <c r="C13" i="9"/>
  <c r="A13" i="9"/>
  <c r="C12" i="9"/>
  <c r="A12" i="9"/>
  <c r="C11" i="9"/>
  <c r="A11" i="9"/>
  <c r="C10" i="9"/>
  <c r="A10" i="9"/>
  <c r="C9" i="9"/>
  <c r="A9" i="9"/>
  <c r="C8" i="9"/>
  <c r="A8" i="9"/>
  <c r="C7" i="9"/>
  <c r="A7" i="9"/>
  <c r="C6" i="9"/>
  <c r="A6" i="9"/>
  <c r="C5" i="9"/>
  <c r="A5" i="9"/>
  <c r="C4" i="9"/>
  <c r="A4" i="9"/>
  <c r="C3" i="9"/>
  <c r="A3" i="9"/>
  <c r="C2" i="9"/>
  <c r="A2" i="9"/>
  <c r="C284" i="8"/>
  <c r="A284" i="8"/>
  <c r="C283" i="8"/>
  <c r="A283" i="8"/>
  <c r="C282" i="8"/>
  <c r="A282" i="8"/>
  <c r="C281" i="8"/>
  <c r="A281" i="8"/>
  <c r="C280" i="8"/>
  <c r="A280" i="8"/>
  <c r="C279" i="8"/>
  <c r="A279" i="8"/>
  <c r="C278" i="8"/>
  <c r="A278" i="8"/>
  <c r="C277" i="8"/>
  <c r="A277" i="8"/>
  <c r="C276" i="8"/>
  <c r="A276" i="8"/>
  <c r="C275" i="8"/>
  <c r="A275" i="8"/>
  <c r="C274" i="8"/>
  <c r="A274" i="8"/>
  <c r="C273" i="8"/>
  <c r="A273" i="8"/>
  <c r="C272" i="8"/>
  <c r="A272" i="8"/>
  <c r="C271" i="8"/>
  <c r="A271" i="8"/>
  <c r="C270" i="8"/>
  <c r="A270" i="8"/>
  <c r="C269" i="8"/>
  <c r="A269" i="8"/>
  <c r="C268" i="8"/>
  <c r="A268" i="8"/>
  <c r="C267" i="8"/>
  <c r="A267" i="8"/>
  <c r="C266" i="8"/>
  <c r="A266" i="8"/>
  <c r="C265" i="8"/>
  <c r="A265" i="8"/>
  <c r="C264" i="8"/>
  <c r="A264" i="8"/>
  <c r="C263" i="8"/>
  <c r="A263" i="8"/>
  <c r="C262" i="8"/>
  <c r="A262" i="8"/>
  <c r="C261" i="8"/>
  <c r="A261" i="8"/>
  <c r="C260" i="8"/>
  <c r="A260" i="8"/>
  <c r="C259" i="8"/>
  <c r="A259" i="8"/>
  <c r="C258" i="8"/>
  <c r="A258" i="8"/>
  <c r="C257" i="8"/>
  <c r="A257" i="8"/>
  <c r="C256" i="8"/>
  <c r="A256" i="8"/>
  <c r="C255" i="8"/>
  <c r="A255" i="8"/>
  <c r="C254" i="8"/>
  <c r="A254" i="8"/>
  <c r="C253" i="8"/>
  <c r="A253" i="8"/>
  <c r="C252" i="8"/>
  <c r="A252" i="8"/>
  <c r="C251" i="8"/>
  <c r="A251" i="8"/>
  <c r="C250" i="8"/>
  <c r="A250" i="8"/>
  <c r="C249" i="8"/>
  <c r="A249" i="8"/>
  <c r="C248" i="8"/>
  <c r="A248" i="8"/>
  <c r="C247" i="8"/>
  <c r="A247" i="8"/>
  <c r="C246" i="8"/>
  <c r="A246" i="8"/>
  <c r="C245" i="8"/>
  <c r="A245" i="8"/>
  <c r="C244" i="8"/>
  <c r="A244" i="8"/>
  <c r="C243" i="8"/>
  <c r="A243" i="8"/>
  <c r="C242" i="8"/>
  <c r="A242" i="8"/>
  <c r="C241" i="8"/>
  <c r="A241" i="8"/>
  <c r="C240" i="8"/>
  <c r="A240" i="8"/>
  <c r="C239" i="8"/>
  <c r="A239" i="8"/>
  <c r="C238" i="8"/>
  <c r="A238" i="8"/>
  <c r="C237" i="8"/>
  <c r="A237" i="8"/>
  <c r="C236" i="8"/>
  <c r="A236" i="8"/>
  <c r="C235" i="8"/>
  <c r="A235" i="8"/>
  <c r="C234" i="8"/>
  <c r="A234" i="8"/>
  <c r="C233" i="8"/>
  <c r="A233" i="8"/>
  <c r="C232" i="8"/>
  <c r="A232" i="8"/>
  <c r="C231" i="8"/>
  <c r="A231" i="8"/>
  <c r="C230" i="8"/>
  <c r="A230" i="8"/>
  <c r="C229" i="8"/>
  <c r="A229" i="8"/>
  <c r="C228" i="8"/>
  <c r="A228" i="8"/>
  <c r="C227" i="8"/>
  <c r="A227" i="8"/>
  <c r="C226" i="8"/>
  <c r="A226" i="8"/>
  <c r="C225" i="8"/>
  <c r="A225" i="8"/>
  <c r="C224" i="8"/>
  <c r="A224" i="8"/>
  <c r="C223" i="8"/>
  <c r="A223" i="8"/>
  <c r="C222" i="8"/>
  <c r="A222" i="8"/>
  <c r="C221" i="8"/>
  <c r="A221" i="8"/>
  <c r="C220" i="8"/>
  <c r="A220" i="8"/>
  <c r="C219" i="8"/>
  <c r="A219" i="8"/>
  <c r="C218" i="8"/>
  <c r="A218" i="8"/>
  <c r="C217" i="8"/>
  <c r="A217" i="8"/>
  <c r="C216" i="8"/>
  <c r="A216" i="8"/>
  <c r="C215" i="8"/>
  <c r="A215" i="8"/>
  <c r="C214" i="8"/>
  <c r="A214" i="8"/>
  <c r="C213" i="8"/>
  <c r="A213" i="8"/>
  <c r="C212" i="8"/>
  <c r="A212" i="8"/>
  <c r="C211" i="8"/>
  <c r="A211" i="8"/>
  <c r="C210" i="8"/>
  <c r="A210" i="8"/>
  <c r="C209" i="8"/>
  <c r="A209" i="8"/>
  <c r="C208" i="8"/>
  <c r="A208" i="8"/>
  <c r="C207" i="8"/>
  <c r="A207" i="8"/>
  <c r="C206" i="8"/>
  <c r="A206" i="8"/>
  <c r="C205" i="8"/>
  <c r="A205" i="8"/>
  <c r="C204" i="8"/>
  <c r="A204" i="8"/>
  <c r="C203" i="8"/>
  <c r="A203" i="8"/>
  <c r="C202" i="8"/>
  <c r="A202" i="8"/>
  <c r="C201" i="8"/>
  <c r="A201" i="8"/>
  <c r="C200" i="8"/>
  <c r="A200" i="8"/>
  <c r="C199" i="8"/>
  <c r="A199" i="8"/>
  <c r="C198" i="8"/>
  <c r="A198" i="8"/>
  <c r="C197" i="8"/>
  <c r="A197" i="8"/>
  <c r="C196" i="8"/>
  <c r="A196" i="8"/>
  <c r="C195" i="8"/>
  <c r="A195" i="8"/>
  <c r="C194" i="8"/>
  <c r="A194" i="8"/>
  <c r="C193" i="8"/>
  <c r="A193" i="8"/>
  <c r="C192" i="8"/>
  <c r="A192" i="8"/>
  <c r="C191" i="8"/>
  <c r="A191" i="8"/>
  <c r="A190" i="8"/>
  <c r="C189" i="8"/>
  <c r="A189" i="8"/>
  <c r="C188" i="8"/>
  <c r="A188" i="8"/>
  <c r="C187" i="8"/>
  <c r="A187" i="8"/>
  <c r="C186" i="8"/>
  <c r="A186" i="8"/>
  <c r="C185" i="8"/>
  <c r="A185" i="8"/>
  <c r="C184" i="8"/>
  <c r="A184" i="8"/>
  <c r="C183" i="8"/>
  <c r="A183" i="8"/>
  <c r="C182" i="8"/>
  <c r="A182" i="8"/>
  <c r="C181" i="8"/>
  <c r="A181" i="8"/>
  <c r="C180" i="8"/>
  <c r="A180" i="8"/>
  <c r="C179" i="8"/>
  <c r="A179" i="8"/>
  <c r="C178" i="8"/>
  <c r="A178" i="8"/>
  <c r="C177" i="8"/>
  <c r="A177" i="8"/>
  <c r="C176" i="8"/>
  <c r="A176" i="8"/>
  <c r="C175" i="8"/>
  <c r="A175" i="8"/>
  <c r="C174" i="8"/>
  <c r="A174" i="8"/>
  <c r="C173" i="8"/>
  <c r="A173" i="8"/>
  <c r="C172" i="8"/>
  <c r="A172" i="8"/>
  <c r="C171" i="8"/>
  <c r="A171" i="8"/>
  <c r="C170" i="8"/>
  <c r="A170" i="8"/>
  <c r="C169" i="8"/>
  <c r="A169" i="8"/>
  <c r="C168" i="8"/>
  <c r="A168" i="8"/>
  <c r="C167" i="8"/>
  <c r="A167" i="8"/>
  <c r="C166" i="8"/>
  <c r="A166" i="8"/>
  <c r="C165" i="8"/>
  <c r="A165" i="8"/>
  <c r="C164" i="8"/>
  <c r="A164" i="8"/>
  <c r="C163" i="8"/>
  <c r="A163" i="8"/>
  <c r="C162" i="8"/>
  <c r="A162" i="8"/>
  <c r="C161" i="8"/>
  <c r="A161" i="8"/>
  <c r="C160" i="8"/>
  <c r="A160" i="8"/>
  <c r="C159" i="8"/>
  <c r="A159" i="8"/>
  <c r="C158" i="8"/>
  <c r="A158" i="8"/>
  <c r="C157" i="8"/>
  <c r="A157" i="8"/>
  <c r="C156" i="8"/>
  <c r="A156" i="8"/>
  <c r="C155" i="8"/>
  <c r="A155" i="8"/>
  <c r="C154" i="8"/>
  <c r="A154" i="8"/>
  <c r="C153" i="8"/>
  <c r="A153" i="8"/>
  <c r="C152" i="8"/>
  <c r="A152" i="8"/>
  <c r="C151" i="8"/>
  <c r="A151" i="8"/>
  <c r="C150" i="8"/>
  <c r="A150" i="8"/>
  <c r="C149" i="8"/>
  <c r="A149" i="8"/>
  <c r="C148" i="8"/>
  <c r="A148" i="8"/>
  <c r="C147" i="8"/>
  <c r="A147" i="8"/>
  <c r="C146" i="8"/>
  <c r="A146" i="8"/>
  <c r="C145" i="8"/>
  <c r="A145" i="8"/>
  <c r="C144" i="8"/>
  <c r="A144" i="8"/>
  <c r="C143" i="8"/>
  <c r="A143" i="8"/>
  <c r="C142" i="8"/>
  <c r="A142" i="8"/>
  <c r="C141" i="8"/>
  <c r="A141" i="8"/>
  <c r="C140" i="8"/>
  <c r="A140" i="8"/>
  <c r="C139" i="8"/>
  <c r="A139" i="8"/>
  <c r="C138" i="8"/>
  <c r="A138" i="8"/>
  <c r="C137" i="8"/>
  <c r="A137" i="8"/>
  <c r="C136" i="8"/>
  <c r="A136" i="8"/>
  <c r="C135" i="8"/>
  <c r="A135" i="8"/>
  <c r="C134" i="8"/>
  <c r="A134" i="8"/>
  <c r="C133" i="8"/>
  <c r="A133" i="8"/>
  <c r="C132" i="8"/>
  <c r="A132" i="8"/>
  <c r="C131" i="8"/>
  <c r="A131" i="8"/>
  <c r="C130" i="8"/>
  <c r="A130" i="8"/>
  <c r="C129" i="8"/>
  <c r="A129" i="8"/>
  <c r="C128" i="8"/>
  <c r="A128" i="8"/>
  <c r="C127" i="8"/>
  <c r="A127" i="8"/>
  <c r="C126" i="8"/>
  <c r="A126" i="8"/>
  <c r="C125" i="8"/>
  <c r="A125" i="8"/>
  <c r="C124" i="8"/>
  <c r="A124" i="8"/>
  <c r="C123" i="8"/>
  <c r="A123" i="8"/>
  <c r="C122" i="8"/>
  <c r="A122" i="8"/>
  <c r="C121" i="8"/>
  <c r="A121" i="8"/>
  <c r="C120" i="8"/>
  <c r="A120" i="8"/>
  <c r="C119" i="8"/>
  <c r="A119" i="8"/>
  <c r="C118" i="8"/>
  <c r="A118" i="8"/>
  <c r="C117" i="8"/>
  <c r="A117" i="8"/>
  <c r="C116" i="8"/>
  <c r="A116" i="8"/>
  <c r="C115" i="8"/>
  <c r="A115" i="8"/>
  <c r="C114" i="8"/>
  <c r="A114" i="8"/>
  <c r="C113" i="8"/>
  <c r="A113" i="8"/>
  <c r="C112" i="8"/>
  <c r="A112" i="8"/>
  <c r="C111" i="8"/>
  <c r="A111" i="8"/>
  <c r="C110" i="8"/>
  <c r="A110" i="8"/>
  <c r="C109" i="8"/>
  <c r="A109" i="8"/>
  <c r="C108" i="8"/>
  <c r="A108" i="8"/>
  <c r="C107" i="8"/>
  <c r="A107" i="8"/>
  <c r="C106" i="8"/>
  <c r="A106" i="8"/>
  <c r="C105" i="8"/>
  <c r="A105" i="8"/>
  <c r="C104" i="8"/>
  <c r="A104" i="8"/>
  <c r="C103" i="8"/>
  <c r="A103" i="8"/>
  <c r="C102" i="8"/>
  <c r="A102" i="8"/>
  <c r="C101" i="8"/>
  <c r="A101" i="8"/>
  <c r="C100" i="8"/>
  <c r="A100" i="8"/>
  <c r="A99" i="8"/>
  <c r="C98" i="8"/>
  <c r="A98" i="8"/>
  <c r="C97" i="8"/>
  <c r="A97" i="8"/>
  <c r="C96" i="8"/>
  <c r="A96" i="8"/>
  <c r="C95" i="8"/>
  <c r="A95" i="8"/>
  <c r="C94" i="8"/>
  <c r="A94" i="8"/>
  <c r="C93" i="8"/>
  <c r="A93" i="8"/>
  <c r="C92" i="8"/>
  <c r="A92" i="8"/>
  <c r="C91" i="8"/>
  <c r="A91" i="8"/>
  <c r="C90" i="8"/>
  <c r="A90" i="8"/>
  <c r="C89" i="8"/>
  <c r="A89" i="8"/>
  <c r="C88" i="8"/>
  <c r="A88" i="8"/>
  <c r="C87" i="8"/>
  <c r="A87" i="8"/>
  <c r="C86" i="8"/>
  <c r="A86" i="8"/>
  <c r="C85" i="8"/>
  <c r="A85" i="8"/>
  <c r="C84" i="8"/>
  <c r="A84" i="8"/>
  <c r="C83" i="8"/>
  <c r="A83" i="8"/>
  <c r="C82" i="8"/>
  <c r="A82" i="8"/>
  <c r="C81" i="8"/>
  <c r="A81" i="8"/>
  <c r="C80" i="8"/>
  <c r="A80" i="8"/>
  <c r="C79" i="8"/>
  <c r="A79" i="8"/>
  <c r="C78" i="8"/>
  <c r="A78" i="8"/>
  <c r="C77" i="8"/>
  <c r="A77" i="8"/>
  <c r="C76" i="8"/>
  <c r="A76" i="8"/>
  <c r="C75" i="8"/>
  <c r="A75" i="8"/>
  <c r="C74" i="8"/>
  <c r="A74" i="8"/>
  <c r="C73" i="8"/>
  <c r="A73" i="8"/>
  <c r="C72" i="8"/>
  <c r="A72" i="8"/>
  <c r="C71" i="8"/>
  <c r="A71" i="8"/>
  <c r="C70" i="8"/>
  <c r="A70" i="8"/>
  <c r="C69" i="8"/>
  <c r="A69" i="8"/>
  <c r="C68" i="8"/>
  <c r="A68" i="8"/>
  <c r="C67" i="8"/>
  <c r="A67" i="8"/>
  <c r="C66" i="8"/>
  <c r="A66" i="8"/>
  <c r="C65" i="8"/>
  <c r="A65" i="8"/>
  <c r="C64" i="8"/>
  <c r="A64" i="8"/>
  <c r="C63" i="8"/>
  <c r="A63" i="8"/>
  <c r="C62" i="8"/>
  <c r="A62" i="8"/>
  <c r="C61" i="8"/>
  <c r="A61" i="8"/>
  <c r="C60" i="8"/>
  <c r="A60" i="8"/>
  <c r="C59" i="8"/>
  <c r="A59" i="8"/>
  <c r="C58" i="8"/>
  <c r="A58" i="8"/>
  <c r="C57" i="8"/>
  <c r="A57" i="8"/>
  <c r="C56" i="8"/>
  <c r="A56" i="8"/>
  <c r="C55" i="8"/>
  <c r="A55" i="8"/>
  <c r="C54" i="8"/>
  <c r="A54" i="8"/>
  <c r="C53" i="8"/>
  <c r="A53" i="8"/>
  <c r="C52" i="8"/>
  <c r="A52" i="8"/>
  <c r="C51" i="8"/>
  <c r="A51" i="8"/>
  <c r="C50" i="8"/>
  <c r="A50" i="8"/>
  <c r="C49" i="8"/>
  <c r="A49" i="8"/>
  <c r="C48" i="8"/>
  <c r="A48" i="8"/>
  <c r="C47" i="8"/>
  <c r="A47" i="8"/>
  <c r="C46" i="8"/>
  <c r="A46" i="8"/>
  <c r="C45" i="8"/>
  <c r="A45" i="8"/>
  <c r="C44" i="8"/>
  <c r="A44" i="8"/>
  <c r="C43" i="8"/>
  <c r="A43" i="8"/>
  <c r="C42" i="8"/>
  <c r="A42" i="8"/>
  <c r="C41" i="8"/>
  <c r="A41" i="8"/>
  <c r="C40" i="8"/>
  <c r="A40" i="8"/>
  <c r="C39" i="8"/>
  <c r="A39" i="8"/>
  <c r="C38" i="8"/>
  <c r="A38" i="8"/>
  <c r="C37" i="8"/>
  <c r="A37" i="8"/>
  <c r="C36" i="8"/>
  <c r="A36" i="8"/>
  <c r="C35" i="8"/>
  <c r="A35" i="8"/>
  <c r="C34" i="8"/>
  <c r="A34" i="8"/>
  <c r="C33" i="8"/>
  <c r="A33" i="8"/>
  <c r="C32" i="8"/>
  <c r="A32" i="8"/>
  <c r="C31" i="8"/>
  <c r="A31" i="8"/>
  <c r="C30" i="8"/>
  <c r="A30" i="8"/>
  <c r="C29" i="8"/>
  <c r="A29" i="8"/>
  <c r="C28" i="8"/>
  <c r="A28" i="8"/>
  <c r="C27" i="8"/>
  <c r="A27" i="8"/>
  <c r="C26" i="8"/>
  <c r="A26" i="8"/>
  <c r="C25" i="8"/>
  <c r="A25" i="8"/>
  <c r="C24" i="8"/>
  <c r="A24" i="8"/>
  <c r="C23" i="8"/>
  <c r="A23" i="8"/>
  <c r="C22" i="8"/>
  <c r="A22" i="8"/>
  <c r="C21" i="8"/>
  <c r="A21" i="8"/>
  <c r="C20" i="8"/>
  <c r="A20" i="8"/>
  <c r="C19" i="8"/>
  <c r="A19" i="8"/>
  <c r="C18" i="8"/>
  <c r="A18" i="8"/>
  <c r="C17" i="8"/>
  <c r="A17" i="8"/>
  <c r="C16" i="8"/>
  <c r="A16" i="8"/>
  <c r="C15" i="8"/>
  <c r="A15" i="8"/>
  <c r="C14" i="8"/>
  <c r="A14" i="8"/>
  <c r="C13" i="8"/>
  <c r="A13" i="8"/>
  <c r="C12" i="8"/>
  <c r="A12" i="8"/>
  <c r="C11" i="8"/>
  <c r="A11" i="8"/>
  <c r="C10" i="8"/>
  <c r="A10" i="8"/>
  <c r="C9" i="8"/>
  <c r="A9" i="8"/>
  <c r="C8" i="8"/>
  <c r="A8" i="8"/>
  <c r="C7" i="8"/>
  <c r="A7" i="8"/>
  <c r="C6" i="8"/>
  <c r="A6" i="8"/>
  <c r="C5" i="8"/>
  <c r="A5" i="8"/>
  <c r="C4" i="8"/>
  <c r="A4" i="8"/>
  <c r="C3" i="8"/>
  <c r="A3" i="8"/>
  <c r="C2" i="8"/>
  <c r="A2" i="8"/>
  <c r="C5" i="7"/>
  <c r="A5" i="7"/>
  <c r="C4" i="7"/>
  <c r="A4" i="7"/>
  <c r="C3" i="7"/>
  <c r="A3" i="7"/>
  <c r="C2" i="7"/>
  <c r="A2" i="7"/>
  <c r="A352" i="6"/>
  <c r="C351" i="6"/>
  <c r="A351" i="6"/>
  <c r="C350" i="6"/>
  <c r="A350" i="6"/>
  <c r="C349" i="6"/>
  <c r="A349" i="6"/>
  <c r="C348" i="6"/>
  <c r="A348" i="6"/>
  <c r="C347" i="6"/>
  <c r="A347" i="6"/>
  <c r="C346" i="6"/>
  <c r="A346" i="6"/>
  <c r="C345" i="6"/>
  <c r="A345" i="6"/>
  <c r="C344" i="6"/>
  <c r="A344" i="6"/>
  <c r="C343" i="6"/>
  <c r="A343" i="6"/>
  <c r="C342" i="6"/>
  <c r="A342" i="6"/>
  <c r="C341" i="6"/>
  <c r="A341" i="6"/>
  <c r="C340" i="6"/>
  <c r="A340" i="6"/>
  <c r="C339" i="6"/>
  <c r="A339" i="6"/>
  <c r="C338" i="6"/>
  <c r="A338" i="6"/>
  <c r="C337" i="6"/>
  <c r="A337" i="6"/>
  <c r="C336" i="6"/>
  <c r="A336" i="6"/>
  <c r="C335" i="6"/>
  <c r="A335" i="6"/>
  <c r="C334" i="6"/>
  <c r="A334" i="6"/>
  <c r="C333" i="6"/>
  <c r="A333" i="6"/>
  <c r="C332" i="6"/>
  <c r="A332" i="6"/>
  <c r="C331" i="6"/>
  <c r="A331" i="6"/>
  <c r="C330" i="6"/>
  <c r="A330" i="6"/>
  <c r="C329" i="6"/>
  <c r="A329" i="6"/>
  <c r="C328" i="6"/>
  <c r="A328" i="6"/>
  <c r="C327" i="6"/>
  <c r="A327" i="6"/>
  <c r="C326" i="6"/>
  <c r="A326" i="6"/>
  <c r="C325" i="6"/>
  <c r="A325" i="6"/>
  <c r="C324" i="6"/>
  <c r="A324" i="6"/>
  <c r="A323" i="6"/>
  <c r="C322" i="6"/>
  <c r="A322" i="6"/>
  <c r="C321" i="6"/>
  <c r="A321" i="6"/>
  <c r="C320" i="6"/>
  <c r="A320" i="6"/>
  <c r="C319" i="6"/>
  <c r="A319" i="6"/>
  <c r="C318" i="6"/>
  <c r="A318" i="6"/>
  <c r="C317" i="6"/>
  <c r="A317" i="6"/>
  <c r="C316" i="6"/>
  <c r="A316" i="6"/>
  <c r="C315" i="6"/>
  <c r="A315" i="6"/>
  <c r="C314" i="6"/>
  <c r="A314" i="6"/>
  <c r="C313" i="6"/>
  <c r="A313" i="6"/>
  <c r="C312" i="6"/>
  <c r="A312" i="6"/>
  <c r="C311" i="6"/>
  <c r="A311" i="6"/>
  <c r="C310" i="6"/>
  <c r="A310" i="6"/>
  <c r="C309" i="6"/>
  <c r="A309" i="6"/>
  <c r="C308" i="6"/>
  <c r="A308" i="6"/>
  <c r="C307" i="6"/>
  <c r="A307" i="6"/>
  <c r="C306" i="6"/>
  <c r="A306" i="6"/>
  <c r="C305" i="6"/>
  <c r="A305" i="6"/>
  <c r="C304" i="6"/>
  <c r="A304" i="6"/>
  <c r="C303" i="6"/>
  <c r="A303" i="6"/>
  <c r="C302" i="6"/>
  <c r="A302" i="6"/>
  <c r="C301" i="6"/>
  <c r="A301" i="6"/>
  <c r="C300" i="6"/>
  <c r="A300" i="6"/>
  <c r="C299" i="6"/>
  <c r="A299" i="6"/>
  <c r="C298" i="6"/>
  <c r="A298" i="6"/>
  <c r="C297" i="6"/>
  <c r="A297" i="6"/>
  <c r="C296" i="6"/>
  <c r="A296" i="6"/>
  <c r="C295" i="6"/>
  <c r="A295" i="6"/>
  <c r="C294" i="6"/>
  <c r="A294" i="6"/>
  <c r="C293" i="6"/>
  <c r="A293" i="6"/>
  <c r="C292" i="6"/>
  <c r="A292" i="6"/>
  <c r="C291" i="6"/>
  <c r="A291" i="6"/>
  <c r="C290" i="6"/>
  <c r="A290" i="6"/>
  <c r="C289" i="6"/>
  <c r="A289" i="6"/>
  <c r="C288" i="6"/>
  <c r="A288" i="6"/>
  <c r="C287" i="6"/>
  <c r="A287" i="6"/>
  <c r="C286" i="6"/>
  <c r="A286" i="6"/>
  <c r="C285" i="6"/>
  <c r="A285" i="6"/>
  <c r="C284" i="6"/>
  <c r="A284" i="6"/>
  <c r="C283" i="6"/>
  <c r="A283" i="6"/>
  <c r="C282" i="6"/>
  <c r="A282" i="6"/>
  <c r="C281" i="6"/>
  <c r="A281" i="6"/>
  <c r="C280" i="6"/>
  <c r="A280" i="6"/>
  <c r="C279" i="6"/>
  <c r="A279" i="6"/>
  <c r="C278" i="6"/>
  <c r="A278" i="6"/>
  <c r="C277" i="6"/>
  <c r="A277" i="6"/>
  <c r="C276" i="6"/>
  <c r="A276" i="6"/>
  <c r="C275" i="6"/>
  <c r="A275" i="6"/>
  <c r="C274" i="6"/>
  <c r="A274" i="6"/>
  <c r="A273" i="6"/>
  <c r="C272" i="6"/>
  <c r="A272" i="6"/>
  <c r="C271" i="6"/>
  <c r="A271" i="6"/>
  <c r="C270" i="6"/>
  <c r="A270" i="6"/>
  <c r="C269" i="6"/>
  <c r="A269" i="6"/>
  <c r="C268" i="6"/>
  <c r="A268" i="6"/>
  <c r="C267" i="6"/>
  <c r="A267" i="6"/>
  <c r="C266" i="6"/>
  <c r="A266" i="6"/>
  <c r="C265" i="6"/>
  <c r="A265" i="6"/>
  <c r="C264" i="6"/>
  <c r="A264" i="6"/>
  <c r="C263" i="6"/>
  <c r="A263" i="6"/>
  <c r="C262" i="6"/>
  <c r="A262" i="6"/>
  <c r="C261" i="6"/>
  <c r="A261" i="6"/>
  <c r="C260" i="6"/>
  <c r="A260" i="6"/>
  <c r="C259" i="6"/>
  <c r="A259" i="6"/>
  <c r="C258" i="6"/>
  <c r="A258" i="6"/>
  <c r="C257" i="6"/>
  <c r="A257" i="6"/>
  <c r="C256" i="6"/>
  <c r="A256" i="6"/>
  <c r="C255" i="6"/>
  <c r="A255" i="6"/>
  <c r="C254" i="6"/>
  <c r="A254" i="6"/>
  <c r="C253" i="6"/>
  <c r="A253" i="6"/>
  <c r="C252" i="6"/>
  <c r="A252" i="6"/>
  <c r="C251" i="6"/>
  <c r="A251" i="6"/>
  <c r="C250" i="6"/>
  <c r="A250" i="6"/>
  <c r="C249" i="6"/>
  <c r="A249" i="6"/>
  <c r="C248" i="6"/>
  <c r="A248" i="6"/>
  <c r="C247" i="6"/>
  <c r="A247" i="6"/>
  <c r="C246" i="6"/>
  <c r="A246" i="6"/>
  <c r="C245" i="6"/>
  <c r="A245" i="6"/>
  <c r="C244" i="6"/>
  <c r="A244" i="6"/>
  <c r="C243" i="6"/>
  <c r="A243" i="6"/>
  <c r="C242" i="6"/>
  <c r="A242" i="6"/>
  <c r="C241" i="6"/>
  <c r="A241" i="6"/>
  <c r="C240" i="6"/>
  <c r="A240" i="6"/>
  <c r="C239" i="6"/>
  <c r="A239" i="6"/>
  <c r="C238" i="6"/>
  <c r="A238" i="6"/>
  <c r="C237" i="6"/>
  <c r="A237" i="6"/>
  <c r="C236" i="6"/>
  <c r="A236" i="6"/>
  <c r="C235" i="6"/>
  <c r="A235" i="6"/>
  <c r="C234" i="6"/>
  <c r="A234" i="6"/>
  <c r="C233" i="6"/>
  <c r="A233" i="6"/>
  <c r="C232" i="6"/>
  <c r="A232" i="6"/>
  <c r="C231" i="6"/>
  <c r="A231" i="6"/>
  <c r="C230" i="6"/>
  <c r="A230" i="6"/>
  <c r="C229" i="6"/>
  <c r="A229" i="6"/>
  <c r="C228" i="6"/>
  <c r="A228" i="6"/>
  <c r="C227" i="6"/>
  <c r="A227" i="6"/>
  <c r="C226" i="6"/>
  <c r="A226" i="6"/>
  <c r="C225" i="6"/>
  <c r="A225" i="6"/>
  <c r="C224" i="6"/>
  <c r="A224" i="6"/>
  <c r="C223" i="6"/>
  <c r="A223" i="6"/>
  <c r="C222" i="6"/>
  <c r="A222" i="6"/>
  <c r="C221" i="6"/>
  <c r="A221" i="6"/>
  <c r="C220" i="6"/>
  <c r="A220" i="6"/>
  <c r="C219" i="6"/>
  <c r="A219" i="6"/>
  <c r="C218" i="6"/>
  <c r="A218" i="6"/>
  <c r="C217" i="6"/>
  <c r="A217" i="6"/>
  <c r="C216" i="6"/>
  <c r="A216" i="6"/>
  <c r="C215" i="6"/>
  <c r="A215" i="6"/>
  <c r="C214" i="6"/>
  <c r="A214" i="6"/>
  <c r="C213" i="6"/>
  <c r="A213" i="6"/>
  <c r="C212" i="6"/>
  <c r="A212" i="6"/>
  <c r="C211" i="6"/>
  <c r="A211" i="6"/>
  <c r="C210" i="6"/>
  <c r="A210" i="6"/>
  <c r="C209" i="6"/>
  <c r="A209" i="6"/>
  <c r="C208" i="6"/>
  <c r="A208" i="6"/>
  <c r="C207" i="6"/>
  <c r="A207" i="6"/>
  <c r="C206" i="6"/>
  <c r="A206" i="6"/>
  <c r="C205" i="6"/>
  <c r="A205" i="6"/>
  <c r="C204" i="6"/>
  <c r="A204" i="6"/>
  <c r="C203" i="6"/>
  <c r="A203" i="6"/>
  <c r="C202" i="6"/>
  <c r="A202" i="6"/>
  <c r="C201" i="6"/>
  <c r="A201" i="6"/>
  <c r="C200" i="6"/>
  <c r="A200" i="6"/>
  <c r="C199" i="6"/>
  <c r="A199" i="6"/>
  <c r="C198" i="6"/>
  <c r="A198" i="6"/>
  <c r="C197" i="6"/>
  <c r="A197" i="6"/>
  <c r="C196" i="6"/>
  <c r="A196" i="6"/>
  <c r="C195" i="6"/>
  <c r="A195" i="6"/>
  <c r="C194" i="6"/>
  <c r="A194" i="6"/>
  <c r="C193" i="6"/>
  <c r="A193" i="6"/>
  <c r="C192" i="6"/>
  <c r="A192" i="6"/>
  <c r="C191" i="6"/>
  <c r="A191" i="6"/>
  <c r="C190" i="6"/>
  <c r="A190" i="6"/>
  <c r="C189" i="6"/>
  <c r="A189" i="6"/>
  <c r="C188" i="6"/>
  <c r="A188" i="6"/>
  <c r="C187" i="6"/>
  <c r="A187" i="6"/>
  <c r="C186" i="6"/>
  <c r="A186" i="6"/>
  <c r="C185" i="6"/>
  <c r="A185" i="6"/>
  <c r="C184" i="6"/>
  <c r="A184" i="6"/>
  <c r="C183" i="6"/>
  <c r="A183" i="6"/>
  <c r="C182" i="6"/>
  <c r="A182" i="6"/>
  <c r="C181" i="6"/>
  <c r="A181" i="6"/>
  <c r="C180" i="6"/>
  <c r="A180" i="6"/>
  <c r="C179" i="6"/>
  <c r="A179" i="6"/>
  <c r="C178" i="6"/>
  <c r="A178" i="6"/>
  <c r="C177" i="6"/>
  <c r="A177" i="6"/>
  <c r="C176" i="6"/>
  <c r="A176" i="6"/>
  <c r="C175" i="6"/>
  <c r="A175" i="6"/>
  <c r="C174" i="6"/>
  <c r="A174" i="6"/>
  <c r="C173" i="6"/>
  <c r="A173" i="6"/>
  <c r="C172" i="6"/>
  <c r="A172" i="6"/>
  <c r="C171" i="6"/>
  <c r="A171" i="6"/>
  <c r="C170" i="6"/>
  <c r="A170" i="6"/>
  <c r="C169" i="6"/>
  <c r="A169" i="6"/>
  <c r="C168" i="6"/>
  <c r="A168" i="6"/>
  <c r="C167" i="6"/>
  <c r="A167" i="6"/>
  <c r="C166" i="6"/>
  <c r="A166" i="6"/>
  <c r="C165" i="6"/>
  <c r="A165" i="6"/>
  <c r="C164" i="6"/>
  <c r="A164" i="6"/>
  <c r="C163" i="6"/>
  <c r="A163" i="6"/>
  <c r="C162" i="6"/>
  <c r="A162" i="6"/>
  <c r="C161" i="6"/>
  <c r="A161" i="6"/>
  <c r="C160" i="6"/>
  <c r="A160" i="6"/>
  <c r="C159" i="6"/>
  <c r="A159" i="6"/>
  <c r="C158" i="6"/>
  <c r="A158" i="6"/>
  <c r="C157" i="6"/>
  <c r="A157" i="6"/>
  <c r="C156" i="6"/>
  <c r="A156" i="6"/>
  <c r="C155" i="6"/>
  <c r="A155" i="6"/>
  <c r="C154" i="6"/>
  <c r="A154" i="6"/>
  <c r="C153" i="6"/>
  <c r="A153" i="6"/>
  <c r="C152" i="6"/>
  <c r="A152" i="6"/>
  <c r="C151" i="6"/>
  <c r="A151" i="6"/>
  <c r="C150" i="6"/>
  <c r="A150" i="6"/>
  <c r="C149" i="6"/>
  <c r="A149" i="6"/>
  <c r="C148" i="6"/>
  <c r="A148" i="6"/>
  <c r="C147" i="6"/>
  <c r="A147" i="6"/>
  <c r="C146" i="6"/>
  <c r="A146" i="6"/>
  <c r="C145" i="6"/>
  <c r="A145" i="6"/>
  <c r="C144" i="6"/>
  <c r="A144" i="6"/>
  <c r="C143" i="6"/>
  <c r="A143" i="6"/>
  <c r="C142" i="6"/>
  <c r="A142" i="6"/>
  <c r="C141" i="6"/>
  <c r="A141" i="6"/>
  <c r="C140" i="6"/>
  <c r="A140" i="6"/>
  <c r="C139" i="6"/>
  <c r="A139" i="6"/>
  <c r="C138" i="6"/>
  <c r="A138" i="6"/>
  <c r="C137" i="6"/>
  <c r="A137" i="6"/>
  <c r="C136" i="6"/>
  <c r="A136" i="6"/>
  <c r="C135" i="6"/>
  <c r="A135" i="6"/>
  <c r="C134" i="6"/>
  <c r="A134" i="6"/>
  <c r="C133" i="6"/>
  <c r="A133" i="6"/>
  <c r="C132" i="6"/>
  <c r="A132" i="6"/>
  <c r="C131" i="6"/>
  <c r="A131" i="6"/>
  <c r="C130" i="6"/>
  <c r="A130" i="6"/>
  <c r="C129" i="6"/>
  <c r="A129" i="6"/>
  <c r="C128" i="6"/>
  <c r="A128" i="6"/>
  <c r="C127" i="6"/>
  <c r="A127" i="6"/>
  <c r="C126" i="6"/>
  <c r="A126" i="6"/>
  <c r="C125" i="6"/>
  <c r="A125" i="6"/>
  <c r="C124" i="6"/>
  <c r="A124" i="6"/>
  <c r="C123" i="6"/>
  <c r="A123" i="6"/>
  <c r="C122" i="6"/>
  <c r="A122" i="6"/>
  <c r="C121" i="6"/>
  <c r="A121" i="6"/>
  <c r="C120" i="6"/>
  <c r="A120" i="6"/>
  <c r="C119" i="6"/>
  <c r="A119" i="6"/>
  <c r="C118" i="6"/>
  <c r="A118" i="6"/>
  <c r="C117" i="6"/>
  <c r="A117" i="6"/>
  <c r="C116" i="6"/>
  <c r="A116" i="6"/>
  <c r="C115" i="6"/>
  <c r="A115" i="6"/>
  <c r="C114" i="6"/>
  <c r="A114" i="6"/>
  <c r="C113" i="6"/>
  <c r="A113" i="6"/>
  <c r="C112" i="6"/>
  <c r="A112" i="6"/>
  <c r="C111" i="6"/>
  <c r="A111" i="6"/>
  <c r="C110" i="6"/>
  <c r="A110" i="6"/>
  <c r="C109" i="6"/>
  <c r="A109" i="6"/>
  <c r="C108" i="6"/>
  <c r="A108" i="6"/>
  <c r="C107" i="6"/>
  <c r="A107" i="6"/>
  <c r="C106" i="6"/>
  <c r="A106" i="6"/>
  <c r="C105" i="6"/>
  <c r="A105" i="6"/>
  <c r="C104" i="6"/>
  <c r="A104" i="6"/>
  <c r="C103" i="6"/>
  <c r="A103" i="6"/>
  <c r="C102" i="6"/>
  <c r="A102" i="6"/>
  <c r="C101" i="6"/>
  <c r="A101" i="6"/>
  <c r="C100" i="6"/>
  <c r="A100" i="6"/>
  <c r="C99" i="6"/>
  <c r="A99" i="6"/>
  <c r="C98" i="6"/>
  <c r="A98" i="6"/>
  <c r="C97" i="6"/>
  <c r="A97" i="6"/>
  <c r="C96" i="6"/>
  <c r="A96" i="6"/>
  <c r="C95" i="6"/>
  <c r="A95" i="6"/>
  <c r="C94" i="6"/>
  <c r="A94" i="6"/>
  <c r="C93" i="6"/>
  <c r="A93" i="6"/>
  <c r="C92" i="6"/>
  <c r="A92" i="6"/>
  <c r="C91" i="6"/>
  <c r="A91" i="6"/>
  <c r="C90" i="6"/>
  <c r="A90" i="6"/>
  <c r="C89" i="6"/>
  <c r="A89" i="6"/>
  <c r="C88" i="6"/>
  <c r="A88" i="6"/>
  <c r="C87" i="6"/>
  <c r="A87" i="6"/>
  <c r="C86" i="6"/>
  <c r="A86" i="6"/>
  <c r="C85" i="6"/>
  <c r="A85" i="6"/>
  <c r="C84" i="6"/>
  <c r="A84" i="6"/>
  <c r="C83" i="6"/>
  <c r="A83" i="6"/>
  <c r="C82" i="6"/>
  <c r="A82" i="6"/>
  <c r="C81" i="6"/>
  <c r="A81" i="6"/>
  <c r="C80" i="6"/>
  <c r="A80" i="6"/>
  <c r="C79" i="6"/>
  <c r="A79" i="6"/>
  <c r="C78" i="6"/>
  <c r="A78" i="6"/>
  <c r="C77" i="6"/>
  <c r="A77" i="6"/>
  <c r="C76" i="6"/>
  <c r="A76" i="6"/>
  <c r="C75" i="6"/>
  <c r="A75" i="6"/>
  <c r="C74" i="6"/>
  <c r="A74" i="6"/>
  <c r="C73" i="6"/>
  <c r="A73" i="6"/>
  <c r="C72" i="6"/>
  <c r="A72" i="6"/>
  <c r="C71" i="6"/>
  <c r="A71" i="6"/>
  <c r="C70" i="6"/>
  <c r="A70" i="6"/>
  <c r="C69" i="6"/>
  <c r="A69" i="6"/>
  <c r="C68" i="6"/>
  <c r="A68" i="6"/>
  <c r="C67" i="6"/>
  <c r="A67" i="6"/>
  <c r="C66" i="6"/>
  <c r="A66" i="6"/>
  <c r="C65" i="6"/>
  <c r="A65" i="6"/>
  <c r="C64" i="6"/>
  <c r="A64" i="6"/>
  <c r="C63" i="6"/>
  <c r="A63" i="6"/>
  <c r="C62" i="6"/>
  <c r="A62" i="6"/>
  <c r="C61" i="6"/>
  <c r="A61" i="6"/>
  <c r="C60" i="6"/>
  <c r="A60" i="6"/>
  <c r="C59" i="6"/>
  <c r="A59" i="6"/>
  <c r="C58" i="6"/>
  <c r="A58" i="6"/>
  <c r="C57" i="6"/>
  <c r="A57" i="6"/>
  <c r="C56" i="6"/>
  <c r="A56" i="6"/>
  <c r="C55" i="6"/>
  <c r="A55" i="6"/>
  <c r="C54" i="6"/>
  <c r="A54" i="6"/>
  <c r="C53" i="6"/>
  <c r="A53" i="6"/>
  <c r="C52" i="6"/>
  <c r="A52" i="6"/>
  <c r="C51" i="6"/>
  <c r="A51" i="6"/>
  <c r="C50" i="6"/>
  <c r="A50" i="6"/>
  <c r="C49" i="6"/>
  <c r="A49" i="6"/>
  <c r="C48" i="6"/>
  <c r="A48" i="6"/>
  <c r="C47" i="6"/>
  <c r="A47" i="6"/>
  <c r="C46" i="6"/>
  <c r="A46" i="6"/>
  <c r="C45" i="6"/>
  <c r="A45" i="6"/>
  <c r="C44" i="6"/>
  <c r="A44" i="6"/>
  <c r="C43" i="6"/>
  <c r="A43" i="6"/>
  <c r="C42" i="6"/>
  <c r="A42" i="6"/>
  <c r="C41" i="6"/>
  <c r="A41" i="6"/>
  <c r="C40" i="6"/>
  <c r="A40" i="6"/>
  <c r="C39" i="6"/>
  <c r="A39" i="6"/>
  <c r="C38" i="6"/>
  <c r="A38" i="6"/>
  <c r="C37" i="6"/>
  <c r="A37" i="6"/>
  <c r="C36" i="6"/>
  <c r="A36" i="6"/>
  <c r="C35" i="6"/>
  <c r="A35" i="6"/>
  <c r="C34" i="6"/>
  <c r="A34" i="6"/>
  <c r="C33" i="6"/>
  <c r="A33" i="6"/>
  <c r="C32" i="6"/>
  <c r="A32" i="6"/>
  <c r="C31" i="6"/>
  <c r="A31" i="6"/>
  <c r="C30" i="6"/>
  <c r="A30" i="6"/>
  <c r="C29" i="6"/>
  <c r="A29" i="6"/>
  <c r="C28" i="6"/>
  <c r="A28" i="6"/>
  <c r="C27" i="6"/>
  <c r="A27" i="6"/>
  <c r="C26" i="6"/>
  <c r="A26" i="6"/>
  <c r="C25" i="6"/>
  <c r="A25" i="6"/>
  <c r="C24" i="6"/>
  <c r="A24" i="6"/>
  <c r="C23" i="6"/>
  <c r="A23" i="6"/>
  <c r="C22" i="6"/>
  <c r="A22" i="6"/>
  <c r="C21" i="6"/>
  <c r="A21" i="6"/>
  <c r="C20" i="6"/>
  <c r="A20" i="6"/>
  <c r="C19" i="6"/>
  <c r="A19" i="6"/>
  <c r="C18" i="6"/>
  <c r="A18" i="6"/>
  <c r="C17" i="6"/>
  <c r="A17" i="6"/>
  <c r="C16" i="6"/>
  <c r="A16" i="6"/>
  <c r="C15" i="6"/>
  <c r="A15" i="6"/>
  <c r="C14" i="6"/>
  <c r="A14" i="6"/>
  <c r="C13" i="6"/>
  <c r="A13" i="6"/>
  <c r="C12" i="6"/>
  <c r="A12" i="6"/>
  <c r="C11" i="6"/>
  <c r="A11" i="6"/>
  <c r="C10" i="6"/>
  <c r="A10" i="6"/>
  <c r="C9" i="6"/>
  <c r="A9" i="6"/>
  <c r="C8" i="6"/>
  <c r="A8" i="6"/>
  <c r="C7" i="6"/>
  <c r="A7" i="6"/>
  <c r="C6" i="6"/>
  <c r="A6" i="6"/>
  <c r="C5" i="6"/>
  <c r="A5" i="6"/>
  <c r="C4" i="6"/>
  <c r="A4" i="6"/>
  <c r="C3" i="6"/>
  <c r="A3" i="6"/>
  <c r="C2" i="6"/>
  <c r="A2" i="6"/>
  <c r="C215" i="5"/>
  <c r="A215" i="5"/>
  <c r="C214" i="5"/>
  <c r="A214" i="5"/>
  <c r="C213" i="5"/>
  <c r="A213" i="5"/>
  <c r="C212" i="5"/>
  <c r="A212" i="5"/>
  <c r="C211" i="5"/>
  <c r="A211" i="5"/>
  <c r="C210" i="5"/>
  <c r="A210" i="5"/>
  <c r="C209" i="5"/>
  <c r="A209" i="5"/>
  <c r="C208" i="5"/>
  <c r="A208" i="5"/>
  <c r="C207" i="5"/>
  <c r="A207" i="5"/>
  <c r="C206" i="5"/>
  <c r="A206" i="5"/>
  <c r="C205" i="5"/>
  <c r="A205" i="5"/>
  <c r="C204" i="5"/>
  <c r="A204" i="5"/>
  <c r="C203" i="5"/>
  <c r="A203" i="5"/>
  <c r="C202" i="5"/>
  <c r="A202" i="5"/>
  <c r="C201" i="5"/>
  <c r="A201" i="5"/>
  <c r="C200" i="5"/>
  <c r="A200" i="5"/>
  <c r="C199" i="5"/>
  <c r="A199" i="5"/>
  <c r="C198" i="5"/>
  <c r="A198" i="5"/>
  <c r="C197" i="5"/>
  <c r="A197" i="5"/>
  <c r="C196" i="5"/>
  <c r="A196" i="5"/>
  <c r="C195" i="5"/>
  <c r="A195" i="5"/>
  <c r="C194" i="5"/>
  <c r="A194" i="5"/>
  <c r="C193" i="5"/>
  <c r="A193" i="5"/>
  <c r="C192" i="5"/>
  <c r="A192" i="5"/>
  <c r="C191" i="5"/>
  <c r="A191" i="5"/>
  <c r="C190" i="5"/>
  <c r="A190" i="5"/>
  <c r="C189" i="5"/>
  <c r="A189" i="5"/>
  <c r="C188" i="5"/>
  <c r="A188" i="5"/>
  <c r="C187" i="5"/>
  <c r="A187" i="5"/>
  <c r="C186" i="5"/>
  <c r="A186" i="5"/>
  <c r="C185" i="5"/>
  <c r="A185" i="5"/>
  <c r="C184" i="5"/>
  <c r="A184" i="5"/>
  <c r="C183" i="5"/>
  <c r="A183" i="5"/>
  <c r="C182" i="5"/>
  <c r="A182" i="5"/>
  <c r="C181" i="5"/>
  <c r="A181" i="5"/>
  <c r="C180" i="5"/>
  <c r="A180" i="5"/>
  <c r="C179" i="5"/>
  <c r="A179" i="5"/>
  <c r="A178" i="5"/>
  <c r="C177" i="5"/>
  <c r="A177" i="5"/>
  <c r="C176" i="5"/>
  <c r="A176" i="5"/>
  <c r="C175" i="5"/>
  <c r="A175" i="5"/>
  <c r="C174" i="5"/>
  <c r="A174" i="5"/>
  <c r="C173" i="5"/>
  <c r="A173" i="5"/>
  <c r="C172" i="5"/>
  <c r="A172" i="5"/>
  <c r="C171" i="5"/>
  <c r="A171" i="5"/>
  <c r="C170" i="5"/>
  <c r="A170" i="5"/>
  <c r="C169" i="5"/>
  <c r="A169" i="5"/>
  <c r="C168" i="5"/>
  <c r="A168" i="5"/>
  <c r="C167" i="5"/>
  <c r="A167" i="5"/>
  <c r="C166" i="5"/>
  <c r="A166" i="5"/>
  <c r="C165" i="5"/>
  <c r="A165" i="5"/>
  <c r="C164" i="5"/>
  <c r="A164" i="5"/>
  <c r="C163" i="5"/>
  <c r="A163" i="5"/>
  <c r="C162" i="5"/>
  <c r="A162" i="5"/>
  <c r="C161" i="5"/>
  <c r="A161" i="5"/>
  <c r="C160" i="5"/>
  <c r="A160" i="5"/>
  <c r="C159" i="5"/>
  <c r="A159" i="5"/>
  <c r="C158" i="5"/>
  <c r="A158" i="5"/>
  <c r="C157" i="5"/>
  <c r="A157" i="5"/>
  <c r="C156" i="5"/>
  <c r="A156" i="5"/>
  <c r="C155" i="5"/>
  <c r="A155" i="5"/>
  <c r="C154" i="5"/>
  <c r="A154" i="5"/>
  <c r="C153" i="5"/>
  <c r="A153" i="5"/>
  <c r="C152" i="5"/>
  <c r="A152" i="5"/>
  <c r="C151" i="5"/>
  <c r="A151" i="5"/>
  <c r="C150" i="5"/>
  <c r="A150" i="5"/>
  <c r="C149" i="5"/>
  <c r="A149" i="5"/>
  <c r="C148" i="5"/>
  <c r="A148" i="5"/>
  <c r="C147" i="5"/>
  <c r="A147" i="5"/>
  <c r="C146" i="5"/>
  <c r="A146" i="5"/>
  <c r="C145" i="5"/>
  <c r="A145" i="5"/>
  <c r="C144" i="5"/>
  <c r="A144" i="5"/>
  <c r="C143" i="5"/>
  <c r="A143" i="5"/>
  <c r="C142" i="5"/>
  <c r="A142" i="5"/>
  <c r="C141" i="5"/>
  <c r="A141" i="5"/>
  <c r="C140" i="5"/>
  <c r="A140" i="5"/>
  <c r="C139" i="5"/>
  <c r="A139" i="5"/>
  <c r="C138" i="5"/>
  <c r="A138" i="5"/>
  <c r="C137" i="5"/>
  <c r="A137" i="5"/>
  <c r="C136" i="5"/>
  <c r="A136" i="5"/>
  <c r="C135" i="5"/>
  <c r="A135" i="5"/>
  <c r="C134" i="5"/>
  <c r="A134" i="5"/>
  <c r="C133" i="5"/>
  <c r="A133" i="5"/>
  <c r="C132" i="5"/>
  <c r="A132" i="5"/>
  <c r="C131" i="5"/>
  <c r="A131" i="5"/>
  <c r="C130" i="5"/>
  <c r="A130" i="5"/>
  <c r="C129" i="5"/>
  <c r="A129" i="5"/>
  <c r="C128" i="5"/>
  <c r="A128" i="5"/>
  <c r="C127" i="5"/>
  <c r="A127" i="5"/>
  <c r="C126" i="5"/>
  <c r="A126" i="5"/>
  <c r="C125" i="5"/>
  <c r="A125" i="5"/>
  <c r="C124" i="5"/>
  <c r="A124" i="5"/>
  <c r="C123" i="5"/>
  <c r="A123" i="5"/>
  <c r="C122" i="5"/>
  <c r="A122" i="5"/>
  <c r="C121" i="5"/>
  <c r="A121" i="5"/>
  <c r="C120" i="5"/>
  <c r="A120" i="5"/>
  <c r="C119" i="5"/>
  <c r="A119" i="5"/>
  <c r="C118" i="5"/>
  <c r="A118" i="5"/>
  <c r="C117" i="5"/>
  <c r="A117" i="5"/>
  <c r="C116" i="5"/>
  <c r="A116" i="5"/>
  <c r="C115" i="5"/>
  <c r="A115" i="5"/>
  <c r="C114" i="5"/>
  <c r="A114" i="5"/>
  <c r="C113" i="5"/>
  <c r="A113" i="5"/>
  <c r="C112" i="5"/>
  <c r="A112" i="5"/>
  <c r="C111" i="5"/>
  <c r="A111" i="5"/>
  <c r="C110" i="5"/>
  <c r="A110" i="5"/>
  <c r="C109" i="5"/>
  <c r="A109" i="5"/>
  <c r="C108" i="5"/>
  <c r="A108" i="5"/>
  <c r="C107" i="5"/>
  <c r="A107" i="5"/>
  <c r="C106" i="5"/>
  <c r="A106" i="5"/>
  <c r="C105" i="5"/>
  <c r="A105" i="5"/>
  <c r="C104" i="5"/>
  <c r="A104" i="5"/>
  <c r="C103" i="5"/>
  <c r="A103" i="5"/>
  <c r="C102" i="5"/>
  <c r="A102" i="5"/>
  <c r="C101" i="5"/>
  <c r="A101" i="5"/>
  <c r="C100" i="5"/>
  <c r="A100" i="5"/>
  <c r="C99" i="5"/>
  <c r="A99" i="5"/>
  <c r="C98" i="5"/>
  <c r="A98" i="5"/>
  <c r="C97" i="5"/>
  <c r="A97" i="5"/>
  <c r="C96" i="5"/>
  <c r="A96" i="5"/>
  <c r="C95" i="5"/>
  <c r="A95" i="5"/>
  <c r="C94" i="5"/>
  <c r="A94" i="5"/>
  <c r="C93" i="5"/>
  <c r="A93" i="5"/>
  <c r="C92" i="5"/>
  <c r="A92" i="5"/>
  <c r="C91" i="5"/>
  <c r="A91" i="5"/>
  <c r="C90" i="5"/>
  <c r="A90" i="5"/>
  <c r="C89" i="5"/>
  <c r="A89" i="5"/>
  <c r="C88" i="5"/>
  <c r="A88" i="5"/>
  <c r="C87" i="5"/>
  <c r="A87" i="5"/>
  <c r="C86" i="5"/>
  <c r="A86" i="5"/>
  <c r="C85" i="5"/>
  <c r="A85" i="5"/>
  <c r="C84" i="5"/>
  <c r="A84" i="5"/>
  <c r="C83" i="5"/>
  <c r="A83" i="5"/>
  <c r="C82" i="5"/>
  <c r="A82" i="5"/>
  <c r="C81" i="5"/>
  <c r="A81" i="5"/>
  <c r="C80" i="5"/>
  <c r="A80" i="5"/>
  <c r="C79" i="5"/>
  <c r="A79" i="5"/>
  <c r="C78" i="5"/>
  <c r="A78" i="5"/>
  <c r="C77" i="5"/>
  <c r="A77" i="5"/>
  <c r="C76" i="5"/>
  <c r="A76" i="5"/>
  <c r="C75" i="5"/>
  <c r="A75" i="5"/>
  <c r="C74" i="5"/>
  <c r="A74" i="5"/>
  <c r="C73" i="5"/>
  <c r="A73" i="5"/>
  <c r="C72" i="5"/>
  <c r="A72" i="5"/>
  <c r="C71" i="5"/>
  <c r="A71" i="5"/>
  <c r="C70" i="5"/>
  <c r="A70" i="5"/>
  <c r="C69" i="5"/>
  <c r="A69" i="5"/>
  <c r="C68" i="5"/>
  <c r="A68" i="5"/>
  <c r="C67" i="5"/>
  <c r="A67" i="5"/>
  <c r="C66" i="5"/>
  <c r="A66" i="5"/>
  <c r="C65" i="5"/>
  <c r="A65" i="5"/>
  <c r="C64" i="5"/>
  <c r="A64" i="5"/>
  <c r="C63" i="5"/>
  <c r="A63" i="5"/>
  <c r="C62" i="5"/>
  <c r="A62" i="5"/>
  <c r="C61" i="5"/>
  <c r="A61" i="5"/>
  <c r="C60" i="5"/>
  <c r="A60" i="5"/>
  <c r="C59" i="5"/>
  <c r="A59" i="5"/>
  <c r="C58" i="5"/>
  <c r="A58" i="5"/>
  <c r="C57" i="5"/>
  <c r="A57" i="5"/>
  <c r="C56" i="5"/>
  <c r="A56" i="5"/>
  <c r="C55" i="5"/>
  <c r="A55" i="5"/>
  <c r="C54" i="5"/>
  <c r="A54" i="5"/>
  <c r="C53" i="5"/>
  <c r="A53" i="5"/>
  <c r="C52" i="5"/>
  <c r="A52" i="5"/>
  <c r="C51" i="5"/>
  <c r="A51" i="5"/>
  <c r="C50" i="5"/>
  <c r="A50" i="5"/>
  <c r="C49" i="5"/>
  <c r="A49" i="5"/>
  <c r="C48" i="5"/>
  <c r="A48" i="5"/>
  <c r="C47" i="5"/>
  <c r="A47" i="5"/>
  <c r="C46" i="5"/>
  <c r="A46" i="5"/>
  <c r="C45" i="5"/>
  <c r="A45" i="5"/>
  <c r="C44" i="5"/>
  <c r="A44" i="5"/>
  <c r="C43" i="5"/>
  <c r="A43" i="5"/>
  <c r="C42" i="5"/>
  <c r="A42" i="5"/>
  <c r="C41" i="5"/>
  <c r="A41" i="5"/>
  <c r="C40" i="5"/>
  <c r="A40" i="5"/>
  <c r="C39" i="5"/>
  <c r="A39" i="5"/>
  <c r="C38" i="5"/>
  <c r="A38" i="5"/>
  <c r="C37" i="5"/>
  <c r="A37" i="5"/>
  <c r="C36" i="5"/>
  <c r="A36" i="5"/>
  <c r="C35" i="5"/>
  <c r="A35" i="5"/>
  <c r="C34" i="5"/>
  <c r="A34" i="5"/>
  <c r="C33" i="5"/>
  <c r="A33" i="5"/>
  <c r="C32" i="5"/>
  <c r="A32" i="5"/>
  <c r="C31" i="5"/>
  <c r="A31" i="5"/>
  <c r="C30" i="5"/>
  <c r="A30" i="5"/>
  <c r="C29" i="5"/>
  <c r="A29" i="5"/>
  <c r="C28" i="5"/>
  <c r="A28" i="5"/>
  <c r="C27" i="5"/>
  <c r="A27" i="5"/>
  <c r="C26" i="5"/>
  <c r="A26" i="5"/>
  <c r="C25" i="5"/>
  <c r="A25" i="5"/>
  <c r="C24" i="5"/>
  <c r="A24" i="5"/>
  <c r="C23" i="5"/>
  <c r="A23" i="5"/>
  <c r="C22" i="5"/>
  <c r="A22" i="5"/>
  <c r="C21" i="5"/>
  <c r="A21" i="5"/>
  <c r="C20" i="5"/>
  <c r="A20" i="5"/>
  <c r="C19" i="5"/>
  <c r="A19" i="5"/>
  <c r="C18" i="5"/>
  <c r="A18" i="5"/>
  <c r="C17" i="5"/>
  <c r="A17" i="5"/>
  <c r="C16" i="5"/>
  <c r="A16" i="5"/>
  <c r="C15" i="5"/>
  <c r="A15" i="5"/>
  <c r="C14" i="5"/>
  <c r="A14" i="5"/>
  <c r="C13" i="5"/>
  <c r="A13" i="5"/>
  <c r="C12" i="5"/>
  <c r="A12" i="5"/>
  <c r="C11" i="5"/>
  <c r="A11" i="5"/>
  <c r="C10" i="5"/>
  <c r="A10" i="5"/>
  <c r="C9" i="5"/>
  <c r="A9" i="5"/>
  <c r="C8" i="5"/>
  <c r="A8" i="5"/>
  <c r="C7" i="5"/>
  <c r="A7" i="5"/>
  <c r="C6" i="5"/>
  <c r="A6" i="5"/>
  <c r="C5" i="5"/>
  <c r="A5" i="5"/>
  <c r="C4" i="5"/>
  <c r="A4" i="5"/>
  <c r="C3" i="5"/>
  <c r="A3" i="5"/>
  <c r="C2" i="5"/>
  <c r="A2" i="5"/>
  <c r="C196" i="4"/>
  <c r="A196" i="4"/>
  <c r="C195" i="4"/>
  <c r="A195" i="4"/>
  <c r="C194" i="4"/>
  <c r="A194" i="4"/>
  <c r="C193" i="4"/>
  <c r="A193" i="4"/>
  <c r="C192" i="4"/>
  <c r="A192" i="4"/>
  <c r="C191" i="4"/>
  <c r="A191" i="4"/>
  <c r="C190" i="4"/>
  <c r="A190" i="4"/>
  <c r="C189" i="4"/>
  <c r="A189" i="4"/>
  <c r="C188" i="4"/>
  <c r="A188" i="4"/>
  <c r="C187" i="4"/>
  <c r="A187" i="4"/>
  <c r="C186" i="4"/>
  <c r="A186" i="4"/>
  <c r="C185" i="4"/>
  <c r="A185" i="4"/>
  <c r="C184" i="4"/>
  <c r="A184" i="4"/>
  <c r="C183" i="4"/>
  <c r="A183" i="4"/>
  <c r="C182" i="4"/>
  <c r="A182" i="4"/>
  <c r="A181" i="4"/>
  <c r="C180" i="4"/>
  <c r="A180" i="4"/>
  <c r="C179" i="4"/>
  <c r="A179" i="4"/>
  <c r="C178" i="4"/>
  <c r="A178" i="4"/>
  <c r="C177" i="4"/>
  <c r="A177" i="4"/>
  <c r="C176" i="4"/>
  <c r="A176" i="4"/>
  <c r="C175" i="4"/>
  <c r="A175" i="4"/>
  <c r="C174" i="4"/>
  <c r="A174" i="4"/>
  <c r="C173" i="4"/>
  <c r="A173" i="4"/>
  <c r="C172" i="4"/>
  <c r="A172" i="4"/>
  <c r="C171" i="4"/>
  <c r="A171" i="4"/>
  <c r="C170" i="4"/>
  <c r="A170" i="4"/>
  <c r="C169" i="4"/>
  <c r="A169" i="4"/>
  <c r="C168" i="4"/>
  <c r="A168" i="4"/>
  <c r="C167" i="4"/>
  <c r="A167" i="4"/>
  <c r="C166" i="4"/>
  <c r="A166" i="4"/>
  <c r="C165" i="4"/>
  <c r="A165" i="4"/>
  <c r="C164" i="4"/>
  <c r="A164" i="4"/>
  <c r="C163" i="4"/>
  <c r="A163" i="4"/>
  <c r="C162" i="4"/>
  <c r="A162" i="4"/>
  <c r="C161" i="4"/>
  <c r="A161" i="4"/>
  <c r="C160" i="4"/>
  <c r="A160" i="4"/>
  <c r="C159" i="4"/>
  <c r="A159" i="4"/>
  <c r="C158" i="4"/>
  <c r="A158" i="4"/>
  <c r="C157" i="4"/>
  <c r="A157" i="4"/>
  <c r="C156" i="4"/>
  <c r="A156" i="4"/>
  <c r="C155" i="4"/>
  <c r="A155" i="4"/>
  <c r="C154" i="4"/>
  <c r="A154" i="4"/>
  <c r="C153" i="4"/>
  <c r="A153" i="4"/>
  <c r="C152" i="4"/>
  <c r="A152" i="4"/>
  <c r="C151" i="4"/>
  <c r="A151" i="4"/>
  <c r="C150" i="4"/>
  <c r="A150" i="4"/>
  <c r="C149" i="4"/>
  <c r="A149" i="4"/>
  <c r="C148" i="4"/>
  <c r="A148" i="4"/>
  <c r="C147" i="4"/>
  <c r="A147" i="4"/>
  <c r="C146" i="4"/>
  <c r="A146" i="4"/>
  <c r="C145" i="4"/>
  <c r="A145" i="4"/>
  <c r="C144" i="4"/>
  <c r="A144" i="4"/>
  <c r="C143" i="4"/>
  <c r="A143" i="4"/>
  <c r="C142" i="4"/>
  <c r="A142" i="4"/>
  <c r="C141" i="4"/>
  <c r="A141" i="4"/>
  <c r="C140" i="4"/>
  <c r="A140" i="4"/>
  <c r="C139" i="4"/>
  <c r="A139" i="4"/>
  <c r="C138" i="4"/>
  <c r="A138" i="4"/>
  <c r="C137" i="4"/>
  <c r="A137" i="4"/>
  <c r="C136" i="4"/>
  <c r="A136" i="4"/>
  <c r="C135" i="4"/>
  <c r="A135" i="4"/>
  <c r="C134" i="4"/>
  <c r="A134" i="4"/>
  <c r="C133" i="4"/>
  <c r="A133" i="4"/>
  <c r="C132" i="4"/>
  <c r="A132" i="4"/>
  <c r="C131" i="4"/>
  <c r="A131" i="4"/>
  <c r="C130" i="4"/>
  <c r="A130" i="4"/>
  <c r="C129" i="4"/>
  <c r="A129" i="4"/>
  <c r="C128" i="4"/>
  <c r="A128" i="4"/>
  <c r="C127" i="4"/>
  <c r="A127" i="4"/>
  <c r="C126" i="4"/>
  <c r="A126" i="4"/>
  <c r="C125" i="4"/>
  <c r="A125" i="4"/>
  <c r="C124" i="4"/>
  <c r="A124" i="4"/>
  <c r="C123" i="4"/>
  <c r="A123" i="4"/>
  <c r="C122" i="4"/>
  <c r="A122" i="4"/>
  <c r="C121" i="4"/>
  <c r="A121" i="4"/>
  <c r="C120" i="4"/>
  <c r="A120" i="4"/>
  <c r="C119" i="4"/>
  <c r="A119" i="4"/>
  <c r="C118" i="4"/>
  <c r="A118" i="4"/>
  <c r="C117" i="4"/>
  <c r="A117" i="4"/>
  <c r="C116" i="4"/>
  <c r="A116" i="4"/>
  <c r="C115" i="4"/>
  <c r="A115" i="4"/>
  <c r="C114" i="4"/>
  <c r="A114" i="4"/>
  <c r="C113" i="4"/>
  <c r="A113" i="4"/>
  <c r="C112" i="4"/>
  <c r="A112" i="4"/>
  <c r="C111" i="4"/>
  <c r="A111" i="4"/>
  <c r="C110" i="4"/>
  <c r="A110" i="4"/>
  <c r="C109" i="4"/>
  <c r="A109" i="4"/>
  <c r="C108" i="4"/>
  <c r="A108" i="4"/>
  <c r="C107" i="4"/>
  <c r="A107" i="4"/>
  <c r="C106" i="4"/>
  <c r="A106" i="4"/>
  <c r="C105" i="4"/>
  <c r="A105" i="4"/>
  <c r="C104" i="4"/>
  <c r="A104" i="4"/>
  <c r="C103" i="4"/>
  <c r="A103" i="4"/>
  <c r="C102" i="4"/>
  <c r="A102" i="4"/>
  <c r="C101" i="4"/>
  <c r="A101" i="4"/>
  <c r="C100" i="4"/>
  <c r="A100" i="4"/>
  <c r="C99" i="4"/>
  <c r="A99" i="4"/>
  <c r="C98" i="4"/>
  <c r="A98" i="4"/>
  <c r="C97" i="4"/>
  <c r="A97" i="4"/>
  <c r="C96" i="4"/>
  <c r="A96" i="4"/>
  <c r="C95" i="4"/>
  <c r="A95" i="4"/>
  <c r="C94" i="4"/>
  <c r="A94" i="4"/>
  <c r="C93" i="4"/>
  <c r="A93" i="4"/>
  <c r="C92" i="4"/>
  <c r="A92" i="4"/>
  <c r="C91" i="4"/>
  <c r="A91" i="4"/>
  <c r="C90" i="4"/>
  <c r="A90" i="4"/>
  <c r="C89" i="4"/>
  <c r="A89" i="4"/>
  <c r="C88" i="4"/>
  <c r="A88" i="4"/>
  <c r="C87" i="4"/>
  <c r="A87" i="4"/>
  <c r="C86" i="4"/>
  <c r="A86" i="4"/>
  <c r="C85" i="4"/>
  <c r="A85" i="4"/>
  <c r="C84" i="4"/>
  <c r="A84" i="4"/>
  <c r="C83" i="4"/>
  <c r="A83" i="4"/>
  <c r="C82" i="4"/>
  <c r="A82" i="4"/>
  <c r="C81" i="4"/>
  <c r="A81" i="4"/>
  <c r="C80" i="4"/>
  <c r="A80" i="4"/>
  <c r="C79" i="4"/>
  <c r="A79" i="4"/>
  <c r="C78" i="4"/>
  <c r="A78" i="4"/>
  <c r="C77" i="4"/>
  <c r="A77" i="4"/>
  <c r="C76" i="4"/>
  <c r="A76" i="4"/>
  <c r="C75" i="4"/>
  <c r="A75" i="4"/>
  <c r="C74" i="4"/>
  <c r="A74" i="4"/>
  <c r="C73" i="4"/>
  <c r="A73" i="4"/>
  <c r="C72" i="4"/>
  <c r="A72" i="4"/>
  <c r="C71" i="4"/>
  <c r="A71" i="4"/>
  <c r="C70" i="4"/>
  <c r="A70" i="4"/>
  <c r="C69" i="4"/>
  <c r="A69" i="4"/>
  <c r="C68" i="4"/>
  <c r="A68" i="4"/>
  <c r="C67" i="4"/>
  <c r="A67" i="4"/>
  <c r="C66" i="4"/>
  <c r="A66" i="4"/>
  <c r="C65" i="4"/>
  <c r="A65" i="4"/>
  <c r="C64" i="4"/>
  <c r="A64" i="4"/>
  <c r="C63" i="4"/>
  <c r="A63" i="4"/>
  <c r="C62" i="4"/>
  <c r="A62" i="4"/>
  <c r="C61" i="4"/>
  <c r="A61" i="4"/>
  <c r="C60" i="4"/>
  <c r="A60" i="4"/>
  <c r="C59" i="4"/>
  <c r="A59" i="4"/>
  <c r="C58" i="4"/>
  <c r="A58" i="4"/>
  <c r="C57" i="4"/>
  <c r="A57" i="4"/>
  <c r="C56" i="4"/>
  <c r="A56" i="4"/>
  <c r="C55" i="4"/>
  <c r="A55" i="4"/>
  <c r="C54" i="4"/>
  <c r="A54" i="4"/>
  <c r="C53" i="4"/>
  <c r="A53" i="4"/>
  <c r="C52" i="4"/>
  <c r="A52" i="4"/>
  <c r="C51" i="4"/>
  <c r="A51" i="4"/>
  <c r="C50" i="4"/>
  <c r="A50" i="4"/>
  <c r="C49" i="4"/>
  <c r="A49" i="4"/>
  <c r="C48" i="4"/>
  <c r="A48" i="4"/>
  <c r="C47" i="4"/>
  <c r="A47" i="4"/>
  <c r="C46" i="4"/>
  <c r="A46" i="4"/>
  <c r="C45" i="4"/>
  <c r="A45" i="4"/>
  <c r="C44" i="4"/>
  <c r="A44" i="4"/>
  <c r="C43" i="4"/>
  <c r="A43" i="4"/>
  <c r="C42" i="4"/>
  <c r="A42" i="4"/>
  <c r="C41" i="4"/>
  <c r="A41" i="4"/>
  <c r="C40" i="4"/>
  <c r="A40" i="4"/>
  <c r="C39" i="4"/>
  <c r="A39" i="4"/>
  <c r="C38" i="4"/>
  <c r="A38" i="4"/>
  <c r="C37" i="4"/>
  <c r="A37" i="4"/>
  <c r="C36" i="4"/>
  <c r="A36" i="4"/>
  <c r="C35" i="4"/>
  <c r="A35" i="4"/>
  <c r="C34" i="4"/>
  <c r="A34" i="4"/>
  <c r="C33" i="4"/>
  <c r="A33" i="4"/>
  <c r="C32" i="4"/>
  <c r="A32" i="4"/>
  <c r="C31" i="4"/>
  <c r="A31" i="4"/>
  <c r="C30" i="4"/>
  <c r="A30" i="4"/>
  <c r="C29" i="4"/>
  <c r="A29" i="4"/>
  <c r="C28" i="4"/>
  <c r="A28" i="4"/>
  <c r="C27" i="4"/>
  <c r="A27" i="4"/>
  <c r="A26" i="4"/>
  <c r="C25" i="4"/>
  <c r="A25" i="4"/>
  <c r="C24" i="4"/>
  <c r="A24" i="4"/>
  <c r="C23" i="4"/>
  <c r="A23" i="4"/>
  <c r="C22" i="4"/>
  <c r="A22" i="4"/>
  <c r="C21" i="4"/>
  <c r="A21" i="4"/>
  <c r="C20" i="4"/>
  <c r="A20" i="4"/>
  <c r="C19" i="4"/>
  <c r="A19" i="4"/>
  <c r="C18" i="4"/>
  <c r="A18" i="4"/>
  <c r="C17" i="4"/>
  <c r="A17" i="4"/>
  <c r="C16" i="4"/>
  <c r="A16" i="4"/>
  <c r="C15" i="4"/>
  <c r="A15" i="4"/>
  <c r="C14" i="4"/>
  <c r="A14" i="4"/>
  <c r="C13" i="4"/>
  <c r="A13" i="4"/>
  <c r="C12" i="4"/>
  <c r="A12" i="4"/>
  <c r="C11" i="4"/>
  <c r="A11" i="4"/>
  <c r="C10" i="4"/>
  <c r="A10" i="4"/>
  <c r="C9" i="4"/>
  <c r="A9" i="4"/>
  <c r="C8" i="4"/>
  <c r="A8" i="4"/>
  <c r="C7" i="4"/>
  <c r="A7" i="4"/>
  <c r="C6" i="4"/>
  <c r="A6" i="4"/>
  <c r="C5" i="4"/>
  <c r="A5" i="4"/>
  <c r="C4" i="4"/>
  <c r="A4" i="4"/>
  <c r="C3" i="4"/>
  <c r="A3" i="4"/>
  <c r="C2" i="4"/>
  <c r="A2" i="4"/>
  <c r="A306" i="3"/>
  <c r="C305" i="3"/>
  <c r="A305" i="3"/>
  <c r="C304" i="3"/>
  <c r="A304" i="3"/>
  <c r="C303" i="3"/>
  <c r="A303" i="3"/>
  <c r="C302" i="3"/>
  <c r="A302" i="3"/>
  <c r="C301" i="3"/>
  <c r="A301" i="3"/>
  <c r="C300" i="3"/>
  <c r="A300" i="3"/>
  <c r="C299" i="3"/>
  <c r="A299" i="3"/>
  <c r="C298" i="3"/>
  <c r="A298" i="3"/>
  <c r="C297" i="3"/>
  <c r="A297" i="3"/>
  <c r="C296" i="3"/>
  <c r="A296" i="3"/>
  <c r="C295" i="3"/>
  <c r="A295" i="3"/>
  <c r="C294" i="3"/>
  <c r="A294" i="3"/>
  <c r="C293" i="3"/>
  <c r="A293" i="3"/>
  <c r="C292" i="3"/>
  <c r="A292" i="3"/>
  <c r="C291" i="3"/>
  <c r="A291" i="3"/>
  <c r="C290" i="3"/>
  <c r="A290" i="3"/>
  <c r="C289" i="3"/>
  <c r="A289" i="3"/>
  <c r="C288" i="3"/>
  <c r="A288" i="3"/>
  <c r="C287" i="3"/>
  <c r="A287" i="3"/>
  <c r="C286" i="3"/>
  <c r="A286" i="3"/>
  <c r="C285" i="3"/>
  <c r="A285" i="3"/>
  <c r="C284" i="3"/>
  <c r="A284" i="3"/>
  <c r="C283" i="3"/>
  <c r="A283" i="3"/>
  <c r="C282" i="3"/>
  <c r="A282" i="3"/>
  <c r="C281" i="3"/>
  <c r="A281" i="3"/>
  <c r="C280" i="3"/>
  <c r="A280" i="3"/>
  <c r="C279" i="3"/>
  <c r="A279" i="3"/>
  <c r="C278" i="3"/>
  <c r="A278" i="3"/>
  <c r="C277" i="3"/>
  <c r="A277" i="3"/>
  <c r="C276" i="3"/>
  <c r="A276" i="3"/>
  <c r="C275" i="3"/>
  <c r="A275" i="3"/>
  <c r="C274" i="3"/>
  <c r="A274" i="3"/>
  <c r="C273" i="3"/>
  <c r="A273" i="3"/>
  <c r="C272" i="3"/>
  <c r="A272" i="3"/>
  <c r="C271" i="3"/>
  <c r="A271" i="3"/>
  <c r="C270" i="3"/>
  <c r="A270" i="3"/>
  <c r="C269" i="3"/>
  <c r="A269" i="3"/>
  <c r="C268" i="3"/>
  <c r="A268" i="3"/>
  <c r="C267" i="3"/>
  <c r="A267" i="3"/>
  <c r="C266" i="3"/>
  <c r="A266" i="3"/>
  <c r="C265" i="3"/>
  <c r="A265" i="3"/>
  <c r="C264" i="3"/>
  <c r="A264" i="3"/>
  <c r="C263" i="3"/>
  <c r="A263" i="3"/>
  <c r="C262" i="3"/>
  <c r="A262" i="3"/>
  <c r="C261" i="3"/>
  <c r="A261" i="3"/>
  <c r="C260" i="3"/>
  <c r="A260" i="3"/>
  <c r="C259" i="3"/>
  <c r="A259" i="3"/>
  <c r="C258" i="3"/>
  <c r="A258" i="3"/>
  <c r="C257" i="3"/>
  <c r="A257" i="3"/>
  <c r="C256" i="3"/>
  <c r="A256" i="3"/>
  <c r="C255" i="3"/>
  <c r="A255" i="3"/>
  <c r="C254" i="3"/>
  <c r="A254" i="3"/>
  <c r="C253" i="3"/>
  <c r="A253" i="3"/>
  <c r="C252" i="3"/>
  <c r="A252" i="3"/>
  <c r="C251" i="3"/>
  <c r="A251" i="3"/>
  <c r="C250" i="3"/>
  <c r="A250" i="3"/>
  <c r="C249" i="3"/>
  <c r="A249" i="3"/>
  <c r="C248" i="3"/>
  <c r="A248" i="3"/>
  <c r="C247" i="3"/>
  <c r="A247" i="3"/>
  <c r="C246" i="3"/>
  <c r="A246" i="3"/>
  <c r="C245" i="3"/>
  <c r="A245" i="3"/>
  <c r="C244" i="3"/>
  <c r="A244" i="3"/>
  <c r="C243" i="3"/>
  <c r="A243" i="3"/>
  <c r="C242" i="3"/>
  <c r="A242" i="3"/>
  <c r="C241" i="3"/>
  <c r="A241" i="3"/>
  <c r="C240" i="3"/>
  <c r="A240" i="3"/>
  <c r="C239" i="3"/>
  <c r="A239" i="3"/>
  <c r="C238" i="3"/>
  <c r="A238" i="3"/>
  <c r="C237" i="3"/>
  <c r="A237" i="3"/>
  <c r="C236" i="3"/>
  <c r="A236" i="3"/>
  <c r="C235" i="3"/>
  <c r="A235" i="3"/>
  <c r="C234" i="3"/>
  <c r="A234" i="3"/>
  <c r="C233" i="3"/>
  <c r="A233" i="3"/>
  <c r="C232" i="3"/>
  <c r="A232" i="3"/>
  <c r="C231" i="3"/>
  <c r="A231" i="3"/>
  <c r="C230" i="3"/>
  <c r="A230" i="3"/>
  <c r="C229" i="3"/>
  <c r="A229" i="3"/>
  <c r="C228" i="3"/>
  <c r="A228" i="3"/>
  <c r="C227" i="3"/>
  <c r="A227" i="3"/>
  <c r="C226" i="3"/>
  <c r="A226" i="3"/>
  <c r="C225" i="3"/>
  <c r="A225" i="3"/>
  <c r="C224" i="3"/>
  <c r="A224" i="3"/>
  <c r="C223" i="3"/>
  <c r="A223" i="3"/>
  <c r="C222" i="3"/>
  <c r="A222" i="3"/>
  <c r="C221" i="3"/>
  <c r="A221" i="3"/>
  <c r="C220" i="3"/>
  <c r="A220" i="3"/>
  <c r="C219" i="3"/>
  <c r="A219" i="3"/>
  <c r="C218" i="3"/>
  <c r="A218" i="3"/>
  <c r="C217" i="3"/>
  <c r="A217" i="3"/>
  <c r="C216" i="3"/>
  <c r="A216" i="3"/>
  <c r="C215" i="3"/>
  <c r="A215" i="3"/>
  <c r="C214" i="3"/>
  <c r="A214" i="3"/>
  <c r="C213" i="3"/>
  <c r="A213" i="3"/>
  <c r="C212" i="3"/>
  <c r="A212" i="3"/>
  <c r="C211" i="3"/>
  <c r="A211" i="3"/>
  <c r="C210" i="3"/>
  <c r="A210" i="3"/>
  <c r="C209" i="3"/>
  <c r="A209" i="3"/>
  <c r="C208" i="3"/>
  <c r="A208" i="3"/>
  <c r="C207" i="3"/>
  <c r="A207" i="3"/>
  <c r="C206" i="3"/>
  <c r="A206" i="3"/>
  <c r="C205" i="3"/>
  <c r="A205" i="3"/>
  <c r="C204" i="3"/>
  <c r="A204" i="3"/>
  <c r="C203" i="3"/>
  <c r="A203" i="3"/>
  <c r="C202" i="3"/>
  <c r="A202" i="3"/>
  <c r="C201" i="3"/>
  <c r="A201" i="3"/>
  <c r="C200" i="3"/>
  <c r="A200" i="3"/>
  <c r="C199" i="3"/>
  <c r="A199" i="3"/>
  <c r="C198" i="3"/>
  <c r="A198" i="3"/>
  <c r="C197" i="3"/>
  <c r="A197" i="3"/>
  <c r="C196" i="3"/>
  <c r="A196" i="3"/>
  <c r="C195" i="3"/>
  <c r="A195" i="3"/>
  <c r="C194" i="3"/>
  <c r="A194" i="3"/>
  <c r="C193" i="3"/>
  <c r="A193" i="3"/>
  <c r="C192" i="3"/>
  <c r="A192" i="3"/>
  <c r="C191" i="3"/>
  <c r="A191" i="3"/>
  <c r="C190" i="3"/>
  <c r="A190" i="3"/>
  <c r="C189" i="3"/>
  <c r="A189" i="3"/>
  <c r="C188" i="3"/>
  <c r="A188" i="3"/>
  <c r="C187" i="3"/>
  <c r="A187" i="3"/>
  <c r="C186" i="3"/>
  <c r="A186" i="3"/>
  <c r="C185" i="3"/>
  <c r="A185" i="3"/>
  <c r="C184" i="3"/>
  <c r="A184" i="3"/>
  <c r="C183" i="3"/>
  <c r="A183" i="3"/>
  <c r="C182" i="3"/>
  <c r="A182" i="3"/>
  <c r="C181" i="3"/>
  <c r="A181" i="3"/>
  <c r="C180" i="3"/>
  <c r="A180" i="3"/>
  <c r="C179" i="3"/>
  <c r="A179" i="3"/>
  <c r="C178" i="3"/>
  <c r="A178" i="3"/>
  <c r="C177" i="3"/>
  <c r="A177" i="3"/>
  <c r="C176" i="3"/>
  <c r="A176" i="3"/>
  <c r="C175" i="3"/>
  <c r="A175" i="3"/>
  <c r="C174" i="3"/>
  <c r="A174" i="3"/>
  <c r="C173" i="3"/>
  <c r="A173" i="3"/>
  <c r="A172" i="3"/>
  <c r="C171" i="3"/>
  <c r="A171" i="3"/>
  <c r="C170" i="3"/>
  <c r="A170" i="3"/>
  <c r="C169" i="3"/>
  <c r="A169" i="3"/>
  <c r="C168" i="3"/>
  <c r="A168" i="3"/>
  <c r="C167" i="3"/>
  <c r="A167" i="3"/>
  <c r="C166" i="3"/>
  <c r="A166" i="3"/>
  <c r="C165" i="3"/>
  <c r="A165" i="3"/>
  <c r="C164" i="3"/>
  <c r="A164" i="3"/>
  <c r="C163" i="3"/>
  <c r="A163" i="3"/>
  <c r="C162" i="3"/>
  <c r="A162" i="3"/>
  <c r="C161" i="3"/>
  <c r="A161" i="3"/>
  <c r="C160" i="3"/>
  <c r="A160" i="3"/>
  <c r="C159" i="3"/>
  <c r="A159" i="3"/>
  <c r="C158" i="3"/>
  <c r="A158" i="3"/>
  <c r="C157" i="3"/>
  <c r="A157" i="3"/>
  <c r="C156" i="3"/>
  <c r="A156" i="3"/>
  <c r="C155" i="3"/>
  <c r="A155" i="3"/>
  <c r="C154" i="3"/>
  <c r="A154" i="3"/>
  <c r="C153" i="3"/>
  <c r="A153" i="3"/>
  <c r="C152" i="3"/>
  <c r="A152" i="3"/>
  <c r="C151" i="3"/>
  <c r="A151" i="3"/>
  <c r="C150" i="3"/>
  <c r="A150" i="3"/>
  <c r="C149" i="3"/>
  <c r="A149" i="3"/>
  <c r="C148" i="3"/>
  <c r="A148" i="3"/>
  <c r="C147" i="3"/>
  <c r="A147" i="3"/>
  <c r="C146" i="3"/>
  <c r="A146" i="3"/>
  <c r="C145" i="3"/>
  <c r="A145" i="3"/>
  <c r="C144" i="3"/>
  <c r="A144" i="3"/>
  <c r="C143" i="3"/>
  <c r="A143" i="3"/>
  <c r="C142" i="3"/>
  <c r="A142" i="3"/>
  <c r="C141" i="3"/>
  <c r="A141" i="3"/>
  <c r="C140" i="3"/>
  <c r="A140" i="3"/>
  <c r="C139" i="3"/>
  <c r="A139" i="3"/>
  <c r="C138" i="3"/>
  <c r="A138" i="3"/>
  <c r="C137" i="3"/>
  <c r="A137" i="3"/>
  <c r="C136" i="3"/>
  <c r="A136" i="3"/>
  <c r="C135" i="3"/>
  <c r="A135" i="3"/>
  <c r="C134" i="3"/>
  <c r="A134" i="3"/>
  <c r="C133" i="3"/>
  <c r="A133" i="3"/>
  <c r="C132" i="3"/>
  <c r="A132" i="3"/>
  <c r="C131" i="3"/>
  <c r="A131" i="3"/>
  <c r="C130" i="3"/>
  <c r="A130" i="3"/>
  <c r="C129" i="3"/>
  <c r="A129" i="3"/>
  <c r="C128" i="3"/>
  <c r="A128" i="3"/>
  <c r="C127" i="3"/>
  <c r="A127" i="3"/>
  <c r="C126" i="3"/>
  <c r="A126" i="3"/>
  <c r="C125" i="3"/>
  <c r="A125" i="3"/>
  <c r="C124" i="3"/>
  <c r="A124" i="3"/>
  <c r="C123" i="3"/>
  <c r="A123" i="3"/>
  <c r="C122" i="3"/>
  <c r="A122" i="3"/>
  <c r="C121" i="3"/>
  <c r="A121" i="3"/>
  <c r="C120" i="3"/>
  <c r="A120" i="3"/>
  <c r="C119" i="3"/>
  <c r="A119" i="3"/>
  <c r="C118" i="3"/>
  <c r="A118" i="3"/>
  <c r="C117" i="3"/>
  <c r="A117" i="3"/>
  <c r="C116" i="3"/>
  <c r="A116" i="3"/>
  <c r="C115" i="3"/>
  <c r="A115" i="3"/>
  <c r="C114" i="3"/>
  <c r="A114" i="3"/>
  <c r="C113" i="3"/>
  <c r="A113" i="3"/>
  <c r="C112" i="3"/>
  <c r="A112" i="3"/>
  <c r="C111" i="3"/>
  <c r="A111" i="3"/>
  <c r="C110" i="3"/>
  <c r="A110" i="3"/>
  <c r="C109" i="3"/>
  <c r="A109" i="3"/>
  <c r="C108" i="3"/>
  <c r="A108" i="3"/>
  <c r="C107" i="3"/>
  <c r="A107" i="3"/>
  <c r="C106" i="3"/>
  <c r="A106" i="3"/>
  <c r="C105" i="3"/>
  <c r="A105" i="3"/>
  <c r="C104" i="3"/>
  <c r="A104" i="3"/>
  <c r="C103" i="3"/>
  <c r="A103" i="3"/>
  <c r="C102" i="3"/>
  <c r="A102" i="3"/>
  <c r="C101" i="3"/>
  <c r="A101" i="3"/>
  <c r="C100" i="3"/>
  <c r="A100" i="3"/>
  <c r="C99" i="3"/>
  <c r="A99" i="3"/>
  <c r="C98" i="3"/>
  <c r="A98" i="3"/>
  <c r="C97" i="3"/>
  <c r="A97" i="3"/>
  <c r="C96" i="3"/>
  <c r="A96" i="3"/>
  <c r="C95" i="3"/>
  <c r="A95" i="3"/>
  <c r="C94" i="3"/>
  <c r="A94" i="3"/>
  <c r="C93" i="3"/>
  <c r="A93" i="3"/>
  <c r="C92" i="3"/>
  <c r="A92" i="3"/>
  <c r="C91" i="3"/>
  <c r="A91" i="3"/>
  <c r="C90" i="3"/>
  <c r="A90" i="3"/>
  <c r="C89" i="3"/>
  <c r="A89" i="3"/>
  <c r="C88" i="3"/>
  <c r="A88" i="3"/>
  <c r="C87" i="3"/>
  <c r="A87" i="3"/>
  <c r="C86" i="3"/>
  <c r="A86" i="3"/>
  <c r="C85" i="3"/>
  <c r="A85" i="3"/>
  <c r="C84" i="3"/>
  <c r="A84" i="3"/>
  <c r="C83" i="3"/>
  <c r="A83" i="3"/>
  <c r="C82" i="3"/>
  <c r="A82" i="3"/>
  <c r="C81" i="3"/>
  <c r="A81" i="3"/>
  <c r="C80" i="3"/>
  <c r="A80" i="3"/>
  <c r="C79" i="3"/>
  <c r="A79" i="3"/>
  <c r="C78" i="3"/>
  <c r="A78" i="3"/>
  <c r="C77" i="3"/>
  <c r="A77" i="3"/>
  <c r="C76" i="3"/>
  <c r="A76" i="3"/>
  <c r="C75" i="3"/>
  <c r="A75" i="3"/>
  <c r="C74" i="3"/>
  <c r="A74" i="3"/>
  <c r="C73" i="3"/>
  <c r="A73" i="3"/>
  <c r="C72" i="3"/>
  <c r="A72" i="3"/>
  <c r="C71" i="3"/>
  <c r="A71" i="3"/>
  <c r="C70" i="3"/>
  <c r="A70" i="3"/>
  <c r="C69" i="3"/>
  <c r="A69" i="3"/>
  <c r="C68" i="3"/>
  <c r="A68" i="3"/>
  <c r="C67" i="3"/>
  <c r="A67" i="3"/>
  <c r="C66" i="3"/>
  <c r="A66" i="3"/>
  <c r="C65" i="3"/>
  <c r="A65" i="3"/>
  <c r="C64" i="3"/>
  <c r="A64" i="3"/>
  <c r="C63" i="3"/>
  <c r="A63" i="3"/>
  <c r="C62" i="3"/>
  <c r="A62" i="3"/>
  <c r="C61" i="3"/>
  <c r="A61" i="3"/>
  <c r="C60" i="3"/>
  <c r="A60" i="3"/>
  <c r="C59" i="3"/>
  <c r="A59" i="3"/>
  <c r="C58" i="3"/>
  <c r="A58" i="3"/>
  <c r="C57" i="3"/>
  <c r="A57" i="3"/>
  <c r="C56" i="3"/>
  <c r="A56" i="3"/>
  <c r="C55" i="3"/>
  <c r="A55" i="3"/>
  <c r="C54" i="3"/>
  <c r="A54" i="3"/>
  <c r="C53" i="3"/>
  <c r="A53" i="3"/>
  <c r="C52" i="3"/>
  <c r="A52" i="3"/>
  <c r="C51" i="3"/>
  <c r="A51" i="3"/>
  <c r="C50" i="3"/>
  <c r="A50" i="3"/>
  <c r="C49" i="3"/>
  <c r="A49" i="3"/>
  <c r="C48" i="3"/>
  <c r="A48" i="3"/>
  <c r="C47" i="3"/>
  <c r="A47" i="3"/>
  <c r="C46" i="3"/>
  <c r="A46" i="3"/>
  <c r="C45" i="3"/>
  <c r="A45" i="3"/>
  <c r="C44" i="3"/>
  <c r="A44" i="3"/>
  <c r="C43" i="3"/>
  <c r="A43" i="3"/>
  <c r="C42" i="3"/>
  <c r="A42" i="3"/>
  <c r="C41" i="3"/>
  <c r="A41" i="3"/>
  <c r="C40" i="3"/>
  <c r="A40" i="3"/>
  <c r="A39" i="3"/>
  <c r="C38" i="3"/>
  <c r="A38" i="3"/>
  <c r="C37" i="3"/>
  <c r="A37" i="3"/>
  <c r="C36" i="3"/>
  <c r="A36" i="3"/>
  <c r="C35" i="3"/>
  <c r="A35" i="3"/>
  <c r="C34" i="3"/>
  <c r="A34" i="3"/>
  <c r="C33" i="3"/>
  <c r="A33" i="3"/>
  <c r="C32" i="3"/>
  <c r="A32" i="3"/>
  <c r="C31" i="3"/>
  <c r="A31" i="3"/>
  <c r="C30" i="3"/>
  <c r="A30" i="3"/>
  <c r="C29" i="3"/>
  <c r="A29" i="3"/>
  <c r="C28" i="3"/>
  <c r="A28" i="3"/>
  <c r="C27" i="3"/>
  <c r="A27" i="3"/>
  <c r="C26" i="3"/>
  <c r="A26" i="3"/>
  <c r="C25" i="3"/>
  <c r="A25" i="3"/>
  <c r="C24" i="3"/>
  <c r="A24" i="3"/>
  <c r="C23" i="3"/>
  <c r="A23" i="3"/>
  <c r="C22" i="3"/>
  <c r="A22" i="3"/>
  <c r="C21" i="3"/>
  <c r="A21" i="3"/>
  <c r="C20" i="3"/>
  <c r="A20" i="3"/>
  <c r="C19" i="3"/>
  <c r="A19" i="3"/>
  <c r="C18" i="3"/>
  <c r="A18" i="3"/>
  <c r="C17" i="3"/>
  <c r="A17" i="3"/>
  <c r="C16" i="3"/>
  <c r="A16" i="3"/>
  <c r="C15" i="3"/>
  <c r="A15" i="3"/>
  <c r="C14" i="3"/>
  <c r="A14" i="3"/>
  <c r="C13" i="3"/>
  <c r="A13" i="3"/>
  <c r="C12" i="3"/>
  <c r="A12" i="3"/>
  <c r="C11" i="3"/>
  <c r="A11" i="3"/>
  <c r="C10" i="3"/>
  <c r="A10" i="3"/>
  <c r="C9" i="3"/>
  <c r="A9" i="3"/>
  <c r="C8" i="3"/>
  <c r="A8" i="3"/>
  <c r="C7" i="3"/>
  <c r="A7" i="3"/>
  <c r="C6" i="3"/>
  <c r="A6" i="3"/>
  <c r="C5" i="3"/>
  <c r="A5" i="3"/>
  <c r="C4" i="3"/>
  <c r="A4" i="3"/>
  <c r="C3" i="3"/>
  <c r="A3" i="3"/>
  <c r="C2" i="3"/>
  <c r="A2" i="3"/>
  <c r="C179" i="2"/>
  <c r="A179" i="2"/>
  <c r="A178" i="2"/>
  <c r="C177" i="2"/>
  <c r="A177" i="2"/>
  <c r="C176" i="2"/>
  <c r="A176" i="2"/>
  <c r="C175" i="2"/>
  <c r="A175" i="2"/>
  <c r="C174" i="2"/>
  <c r="A174" i="2"/>
  <c r="C173" i="2"/>
  <c r="A173" i="2"/>
  <c r="C172" i="2"/>
  <c r="A172" i="2"/>
  <c r="C171" i="2"/>
  <c r="A171" i="2"/>
  <c r="C170" i="2"/>
  <c r="A170" i="2"/>
  <c r="C169" i="2"/>
  <c r="A169" i="2"/>
  <c r="C168" i="2"/>
  <c r="A168" i="2"/>
  <c r="C167" i="2"/>
  <c r="A167" i="2"/>
  <c r="C166" i="2"/>
  <c r="A166" i="2"/>
  <c r="C165" i="2"/>
  <c r="A165" i="2"/>
  <c r="C164" i="2"/>
  <c r="A164" i="2"/>
  <c r="C163" i="2"/>
  <c r="A163" i="2"/>
  <c r="C162" i="2"/>
  <c r="A162" i="2"/>
  <c r="C161" i="2"/>
  <c r="A161" i="2"/>
  <c r="C160" i="2"/>
  <c r="A160" i="2"/>
  <c r="C159" i="2"/>
  <c r="A159" i="2"/>
  <c r="C158" i="2"/>
  <c r="A158" i="2"/>
  <c r="C157" i="2"/>
  <c r="A157" i="2"/>
  <c r="C156" i="2"/>
  <c r="A156" i="2"/>
  <c r="C155" i="2"/>
  <c r="A155" i="2"/>
  <c r="C154" i="2"/>
  <c r="A154" i="2"/>
  <c r="C153" i="2"/>
  <c r="A153" i="2"/>
  <c r="C152" i="2"/>
  <c r="A152" i="2"/>
  <c r="C151" i="2"/>
  <c r="A151" i="2"/>
  <c r="C150" i="2"/>
  <c r="A150" i="2"/>
  <c r="C149" i="2"/>
  <c r="A149" i="2"/>
  <c r="C148" i="2"/>
  <c r="A148" i="2"/>
  <c r="C147" i="2"/>
  <c r="A147" i="2"/>
  <c r="C146" i="2"/>
  <c r="A146" i="2"/>
  <c r="C145" i="2"/>
  <c r="A145" i="2"/>
  <c r="C144" i="2"/>
  <c r="A144" i="2"/>
  <c r="C143" i="2"/>
  <c r="A143" i="2"/>
  <c r="C142" i="2"/>
  <c r="A142" i="2"/>
  <c r="C141" i="2"/>
  <c r="A141" i="2"/>
  <c r="C140" i="2"/>
  <c r="A140" i="2"/>
  <c r="C139" i="2"/>
  <c r="A139" i="2"/>
  <c r="C138" i="2"/>
  <c r="A138" i="2"/>
  <c r="C137" i="2"/>
  <c r="A137" i="2"/>
  <c r="C136" i="2"/>
  <c r="A136" i="2"/>
  <c r="C135" i="2"/>
  <c r="A135" i="2"/>
  <c r="C134" i="2"/>
  <c r="A134" i="2"/>
  <c r="C133" i="2"/>
  <c r="A133" i="2"/>
  <c r="C132" i="2"/>
  <c r="A132" i="2"/>
  <c r="C131" i="2"/>
  <c r="A131" i="2"/>
  <c r="C130" i="2"/>
  <c r="A130" i="2"/>
  <c r="C129" i="2"/>
  <c r="A129" i="2"/>
  <c r="C128" i="2"/>
  <c r="A128" i="2"/>
  <c r="C127" i="2"/>
  <c r="A127" i="2"/>
  <c r="C126" i="2"/>
  <c r="A126" i="2"/>
  <c r="C125" i="2"/>
  <c r="A125" i="2"/>
  <c r="C124" i="2"/>
  <c r="A124" i="2"/>
  <c r="C123" i="2"/>
  <c r="A123" i="2"/>
  <c r="C122" i="2"/>
  <c r="A122" i="2"/>
  <c r="C121" i="2"/>
  <c r="A121" i="2"/>
  <c r="C120" i="2"/>
  <c r="A120" i="2"/>
  <c r="C119" i="2"/>
  <c r="A119" i="2"/>
  <c r="C118" i="2"/>
  <c r="A118" i="2"/>
  <c r="C117" i="2"/>
  <c r="A117" i="2"/>
  <c r="C116" i="2"/>
  <c r="A116" i="2"/>
  <c r="C115" i="2"/>
  <c r="A115" i="2"/>
  <c r="C114" i="2"/>
  <c r="A114" i="2"/>
  <c r="C113" i="2"/>
  <c r="A113" i="2"/>
  <c r="C112" i="2"/>
  <c r="A112" i="2"/>
  <c r="C111" i="2"/>
  <c r="A111" i="2"/>
  <c r="C110" i="2"/>
  <c r="A110" i="2"/>
  <c r="C109" i="2"/>
  <c r="A109" i="2"/>
  <c r="C108" i="2"/>
  <c r="A108" i="2"/>
  <c r="C107" i="2"/>
  <c r="A107" i="2"/>
  <c r="C106" i="2"/>
  <c r="A106" i="2"/>
  <c r="C105" i="2"/>
  <c r="A105" i="2"/>
  <c r="C104" i="2"/>
  <c r="A104" i="2"/>
  <c r="C103" i="2"/>
  <c r="A103" i="2"/>
  <c r="C102" i="2"/>
  <c r="A102" i="2"/>
  <c r="C101" i="2"/>
  <c r="A101" i="2"/>
  <c r="C100" i="2"/>
  <c r="A100" i="2"/>
  <c r="C99" i="2"/>
  <c r="A99" i="2"/>
  <c r="A98" i="2"/>
  <c r="C97" i="2"/>
  <c r="A97" i="2"/>
  <c r="C96" i="2"/>
  <c r="A96" i="2"/>
  <c r="C95" i="2"/>
  <c r="A95" i="2"/>
  <c r="C94" i="2"/>
  <c r="A94" i="2"/>
  <c r="C93" i="2"/>
  <c r="A93" i="2"/>
  <c r="C92" i="2"/>
  <c r="A92" i="2"/>
  <c r="C91" i="2"/>
  <c r="A91" i="2"/>
  <c r="C90" i="2"/>
  <c r="A90" i="2"/>
  <c r="C89" i="2"/>
  <c r="A89" i="2"/>
  <c r="C88" i="2"/>
  <c r="A88" i="2"/>
  <c r="C87" i="2"/>
  <c r="A87" i="2"/>
  <c r="C86" i="2"/>
  <c r="A86" i="2"/>
  <c r="C85" i="2"/>
  <c r="A85" i="2"/>
  <c r="C84" i="2"/>
  <c r="A84" i="2"/>
  <c r="C83" i="2"/>
  <c r="A83" i="2"/>
  <c r="C82" i="2"/>
  <c r="A82" i="2"/>
  <c r="C81" i="2"/>
  <c r="A81" i="2"/>
  <c r="C80" i="2"/>
  <c r="A80" i="2"/>
  <c r="C79" i="2"/>
  <c r="A79" i="2"/>
  <c r="C78" i="2"/>
  <c r="A78" i="2"/>
  <c r="C77" i="2"/>
  <c r="A77" i="2"/>
  <c r="C76" i="2"/>
  <c r="A76" i="2"/>
  <c r="C75" i="2"/>
  <c r="A75" i="2"/>
  <c r="C74" i="2"/>
  <c r="A74" i="2"/>
  <c r="C73" i="2"/>
  <c r="A73" i="2"/>
  <c r="C72" i="2"/>
  <c r="A72" i="2"/>
  <c r="C71" i="2"/>
  <c r="A71" i="2"/>
  <c r="C70" i="2"/>
  <c r="A70" i="2"/>
  <c r="C69" i="2"/>
  <c r="A69" i="2"/>
  <c r="C68" i="2"/>
  <c r="A68" i="2"/>
  <c r="C67" i="2"/>
  <c r="A67" i="2"/>
  <c r="C66" i="2"/>
  <c r="A66" i="2"/>
  <c r="C65" i="2"/>
  <c r="A65" i="2"/>
  <c r="C64" i="2"/>
  <c r="A64" i="2"/>
  <c r="C63" i="2"/>
  <c r="A63" i="2"/>
  <c r="C62" i="2"/>
  <c r="A62" i="2"/>
  <c r="C61" i="2"/>
  <c r="A61" i="2"/>
  <c r="C60" i="2"/>
  <c r="A60" i="2"/>
  <c r="C59" i="2"/>
  <c r="A59" i="2"/>
  <c r="C58" i="2"/>
  <c r="A58" i="2"/>
  <c r="C57" i="2"/>
  <c r="A57" i="2"/>
  <c r="C56" i="2"/>
  <c r="A56" i="2"/>
  <c r="C55" i="2"/>
  <c r="A55" i="2"/>
  <c r="C54" i="2"/>
  <c r="A54" i="2"/>
  <c r="C53" i="2"/>
  <c r="A53" i="2"/>
  <c r="C52" i="2"/>
  <c r="A52" i="2"/>
  <c r="C51" i="2"/>
  <c r="A51" i="2"/>
  <c r="C50" i="2"/>
  <c r="A50" i="2"/>
  <c r="C49" i="2"/>
  <c r="A49" i="2"/>
  <c r="C48" i="2"/>
  <c r="A48" i="2"/>
  <c r="C47" i="2"/>
  <c r="A47" i="2"/>
  <c r="C46" i="2"/>
  <c r="A46" i="2"/>
  <c r="C45" i="2"/>
  <c r="A45" i="2"/>
  <c r="C44" i="2"/>
  <c r="A44" i="2"/>
  <c r="C43" i="2"/>
  <c r="A43" i="2"/>
  <c r="C42" i="2"/>
  <c r="A42" i="2"/>
  <c r="C41" i="2"/>
  <c r="A41" i="2"/>
  <c r="C40" i="2"/>
  <c r="A40" i="2"/>
  <c r="C39" i="2"/>
  <c r="A39" i="2"/>
  <c r="C38" i="2"/>
  <c r="A38" i="2"/>
  <c r="C37" i="2"/>
  <c r="A37" i="2"/>
  <c r="C36" i="2"/>
  <c r="A36" i="2"/>
  <c r="C35" i="2"/>
  <c r="A35" i="2"/>
  <c r="C34" i="2"/>
  <c r="A34" i="2"/>
  <c r="C33" i="2"/>
  <c r="A33" i="2"/>
  <c r="C32" i="2"/>
  <c r="A32" i="2"/>
  <c r="C31" i="2"/>
  <c r="A31" i="2"/>
  <c r="C30" i="2"/>
  <c r="A30" i="2"/>
  <c r="C29" i="2"/>
  <c r="A29" i="2"/>
  <c r="C28" i="2"/>
  <c r="A28" i="2"/>
  <c r="C27" i="2"/>
  <c r="A27" i="2"/>
  <c r="C26" i="2"/>
  <c r="A26" i="2"/>
  <c r="A25" i="2"/>
  <c r="C24" i="2"/>
  <c r="A24" i="2"/>
  <c r="C23" i="2"/>
  <c r="A23" i="2"/>
  <c r="C22" i="2"/>
  <c r="A22" i="2"/>
  <c r="C21" i="2"/>
  <c r="A21" i="2"/>
  <c r="C20" i="2"/>
  <c r="A20" i="2"/>
  <c r="C19" i="2"/>
  <c r="A19" i="2"/>
  <c r="C18" i="2"/>
  <c r="A18" i="2"/>
  <c r="C17" i="2"/>
  <c r="A17" i="2"/>
  <c r="C16" i="2"/>
  <c r="A16" i="2"/>
  <c r="C15" i="2"/>
  <c r="A15" i="2"/>
  <c r="C14" i="2"/>
  <c r="A14" i="2"/>
  <c r="C13" i="2"/>
  <c r="A13" i="2"/>
  <c r="C12" i="2"/>
  <c r="A12" i="2"/>
  <c r="C11" i="2"/>
  <c r="A11" i="2"/>
  <c r="C10" i="2"/>
  <c r="A10" i="2"/>
  <c r="C9" i="2"/>
  <c r="A9" i="2"/>
  <c r="C8" i="2"/>
  <c r="A8" i="2"/>
  <c r="C7" i="2"/>
  <c r="A7" i="2"/>
  <c r="C6" i="2"/>
  <c r="A6" i="2"/>
  <c r="C5" i="2"/>
  <c r="A5" i="2"/>
  <c r="C4" i="2"/>
  <c r="A4" i="2"/>
  <c r="C3" i="2"/>
  <c r="A3" i="2"/>
  <c r="C2" i="2"/>
  <c r="A2" i="2"/>
  <c r="C309" i="1"/>
  <c r="A309" i="1"/>
  <c r="C308" i="1"/>
  <c r="A308" i="1"/>
  <c r="C307" i="1"/>
  <c r="A307" i="1"/>
  <c r="C306" i="1"/>
  <c r="A306" i="1"/>
  <c r="C305" i="1"/>
  <c r="A305" i="1"/>
  <c r="C304" i="1"/>
  <c r="A304" i="1"/>
  <c r="C303" i="1"/>
  <c r="A303" i="1"/>
  <c r="C302" i="1"/>
  <c r="A302" i="1"/>
  <c r="C301" i="1"/>
  <c r="A301" i="1"/>
  <c r="C300" i="1"/>
  <c r="A300" i="1"/>
  <c r="C299" i="1"/>
  <c r="A299" i="1"/>
  <c r="C298" i="1"/>
  <c r="A298" i="1"/>
  <c r="C297" i="1"/>
  <c r="A297" i="1"/>
  <c r="C296" i="1"/>
  <c r="A296" i="1"/>
  <c r="C295" i="1"/>
  <c r="A295" i="1"/>
  <c r="C294" i="1"/>
  <c r="A294" i="1"/>
  <c r="C293" i="1"/>
  <c r="A293" i="1"/>
  <c r="C292" i="1"/>
  <c r="A292" i="1"/>
  <c r="C291" i="1"/>
  <c r="A291" i="1"/>
  <c r="C290" i="1"/>
  <c r="A290" i="1"/>
  <c r="C289" i="1"/>
  <c r="A289" i="1"/>
  <c r="C288" i="1"/>
  <c r="A288" i="1"/>
  <c r="C287" i="1"/>
  <c r="A287" i="1"/>
  <c r="C286" i="1"/>
  <c r="A286" i="1"/>
  <c r="C285" i="1"/>
  <c r="A285" i="1"/>
  <c r="C284" i="1"/>
  <c r="A284" i="1"/>
  <c r="C283" i="1"/>
  <c r="A283" i="1"/>
  <c r="C282" i="1"/>
  <c r="A282" i="1"/>
  <c r="C281" i="1"/>
  <c r="A281" i="1"/>
  <c r="C280" i="1"/>
  <c r="A280" i="1"/>
  <c r="C279" i="1"/>
  <c r="A279" i="1"/>
  <c r="C278" i="1"/>
  <c r="A278" i="1"/>
  <c r="C277" i="1"/>
  <c r="A277" i="1"/>
  <c r="C276" i="1"/>
  <c r="A276" i="1"/>
  <c r="C275" i="1"/>
  <c r="A275" i="1"/>
  <c r="C274" i="1"/>
  <c r="A274" i="1"/>
  <c r="C273" i="1"/>
  <c r="A273" i="1"/>
  <c r="C272" i="1"/>
  <c r="A272" i="1"/>
  <c r="C271" i="1"/>
  <c r="A271" i="1"/>
  <c r="C270" i="1"/>
  <c r="A270" i="1"/>
  <c r="C269" i="1"/>
  <c r="A269" i="1"/>
  <c r="C268" i="1"/>
  <c r="A268" i="1"/>
  <c r="C267" i="1"/>
  <c r="A267" i="1"/>
  <c r="C266" i="1"/>
  <c r="A266" i="1"/>
  <c r="C265" i="1"/>
  <c r="A265" i="1"/>
  <c r="C264" i="1"/>
  <c r="A264" i="1"/>
  <c r="C263" i="1"/>
  <c r="A263" i="1"/>
  <c r="C262" i="1"/>
  <c r="A262" i="1"/>
  <c r="C261" i="1"/>
  <c r="A261" i="1"/>
  <c r="C260" i="1"/>
  <c r="A260" i="1"/>
  <c r="C259" i="1"/>
  <c r="A259" i="1"/>
  <c r="C258" i="1"/>
  <c r="A258" i="1"/>
  <c r="C257" i="1"/>
  <c r="A257" i="1"/>
  <c r="C256" i="1"/>
  <c r="A256" i="1"/>
  <c r="C255" i="1"/>
  <c r="A255" i="1"/>
  <c r="C254" i="1"/>
  <c r="A254" i="1"/>
  <c r="C253" i="1"/>
  <c r="A253" i="1"/>
  <c r="C252" i="1"/>
  <c r="A252" i="1"/>
  <c r="C251" i="1"/>
  <c r="A251" i="1"/>
  <c r="C250" i="1"/>
  <c r="A250" i="1"/>
  <c r="C249" i="1"/>
  <c r="A249" i="1"/>
  <c r="A248" i="1"/>
  <c r="C247" i="1"/>
  <c r="A247" i="1"/>
  <c r="C246" i="1"/>
  <c r="A246" i="1"/>
  <c r="C245" i="1"/>
  <c r="A245" i="1"/>
  <c r="C244" i="1"/>
  <c r="A244" i="1"/>
  <c r="C243" i="1"/>
  <c r="A243" i="1"/>
  <c r="C242" i="1"/>
  <c r="A242" i="1"/>
  <c r="C241" i="1"/>
  <c r="A241" i="1"/>
  <c r="C240" i="1"/>
  <c r="A240" i="1"/>
  <c r="C239" i="1"/>
  <c r="A239" i="1"/>
  <c r="C238" i="1"/>
  <c r="A238" i="1"/>
  <c r="C237" i="1"/>
  <c r="A237" i="1"/>
  <c r="C236" i="1"/>
  <c r="A236" i="1"/>
  <c r="C235" i="1"/>
  <c r="A235" i="1"/>
  <c r="C234" i="1"/>
  <c r="A234" i="1"/>
  <c r="C233" i="1"/>
  <c r="A233" i="1"/>
  <c r="C232" i="1"/>
  <c r="A232" i="1"/>
  <c r="C231" i="1"/>
  <c r="A231" i="1"/>
  <c r="C230" i="1"/>
  <c r="A230" i="1"/>
  <c r="C229" i="1"/>
  <c r="A229" i="1"/>
  <c r="C228" i="1"/>
  <c r="A228" i="1"/>
  <c r="C227" i="1"/>
  <c r="A227" i="1"/>
  <c r="C226" i="1"/>
  <c r="A226" i="1"/>
  <c r="C225" i="1"/>
  <c r="A225" i="1"/>
  <c r="C224" i="1"/>
  <c r="A224" i="1"/>
  <c r="C223" i="1"/>
  <c r="A223" i="1"/>
  <c r="C222" i="1"/>
  <c r="A222" i="1"/>
  <c r="C221" i="1"/>
  <c r="A221" i="1"/>
  <c r="C220" i="1"/>
  <c r="A220" i="1"/>
  <c r="C219" i="1"/>
  <c r="A219" i="1"/>
  <c r="C218" i="1"/>
  <c r="A218" i="1"/>
  <c r="C217" i="1"/>
  <c r="A217" i="1"/>
  <c r="C216" i="1"/>
  <c r="A216" i="1"/>
  <c r="C215" i="1"/>
  <c r="A215" i="1"/>
  <c r="C214" i="1"/>
  <c r="A214" i="1"/>
  <c r="C213" i="1"/>
  <c r="A213" i="1"/>
  <c r="C212" i="1"/>
  <c r="A212" i="1"/>
  <c r="C211" i="1"/>
  <c r="A211" i="1"/>
  <c r="C210" i="1"/>
  <c r="A210" i="1"/>
  <c r="C209" i="1"/>
  <c r="A209" i="1"/>
  <c r="C208" i="1"/>
  <c r="A208" i="1"/>
  <c r="C207" i="1"/>
  <c r="A207" i="1"/>
  <c r="C206" i="1"/>
  <c r="A206" i="1"/>
  <c r="C205" i="1"/>
  <c r="A205" i="1"/>
  <c r="C204" i="1"/>
  <c r="A204" i="1"/>
  <c r="C203" i="1"/>
  <c r="A203" i="1"/>
  <c r="C202" i="1"/>
  <c r="A202" i="1"/>
  <c r="C201" i="1"/>
  <c r="A201" i="1"/>
  <c r="C200" i="1"/>
  <c r="A200" i="1"/>
  <c r="C199" i="1"/>
  <c r="A199" i="1"/>
  <c r="C198" i="1"/>
  <c r="A198" i="1"/>
  <c r="C197" i="1"/>
  <c r="A197" i="1"/>
  <c r="C196" i="1"/>
  <c r="A196" i="1"/>
  <c r="C195" i="1"/>
  <c r="A195" i="1"/>
  <c r="C194" i="1"/>
  <c r="A194" i="1"/>
  <c r="C193" i="1"/>
  <c r="A193" i="1"/>
  <c r="C192" i="1"/>
  <c r="A192" i="1"/>
  <c r="C191" i="1"/>
  <c r="A191" i="1"/>
  <c r="C190" i="1"/>
  <c r="A190" i="1"/>
  <c r="C189" i="1"/>
  <c r="A189" i="1"/>
  <c r="C188" i="1"/>
  <c r="A188" i="1"/>
  <c r="C187" i="1"/>
  <c r="A187" i="1"/>
  <c r="C186" i="1"/>
  <c r="A186" i="1"/>
  <c r="C185" i="1"/>
  <c r="A185" i="1"/>
  <c r="C184" i="1"/>
  <c r="A184" i="1"/>
  <c r="C183" i="1"/>
  <c r="A183" i="1"/>
  <c r="C182" i="1"/>
  <c r="A182" i="1"/>
  <c r="C181" i="1"/>
  <c r="A181" i="1"/>
  <c r="C180" i="1"/>
  <c r="A180" i="1"/>
  <c r="C179" i="1"/>
  <c r="A179" i="1"/>
  <c r="C178" i="1"/>
  <c r="A178" i="1"/>
  <c r="C177" i="1"/>
  <c r="A177" i="1"/>
  <c r="C176" i="1"/>
  <c r="A176" i="1"/>
  <c r="C175" i="1"/>
  <c r="A175" i="1"/>
  <c r="C174" i="1"/>
  <c r="A174" i="1"/>
  <c r="C173" i="1"/>
  <c r="A173" i="1"/>
  <c r="C172" i="1"/>
  <c r="A172" i="1"/>
  <c r="C171" i="1"/>
  <c r="A171" i="1"/>
  <c r="C170" i="1"/>
  <c r="A170" i="1"/>
  <c r="C169" i="1"/>
  <c r="A169" i="1"/>
  <c r="C168" i="1"/>
  <c r="A168" i="1"/>
  <c r="C167" i="1"/>
  <c r="A167" i="1"/>
  <c r="C166" i="1"/>
  <c r="A166" i="1"/>
  <c r="C165" i="1"/>
  <c r="A165" i="1"/>
  <c r="A164" i="1"/>
  <c r="C163" i="1"/>
  <c r="A163" i="1"/>
  <c r="C162" i="1"/>
  <c r="A162" i="1"/>
  <c r="C161" i="1"/>
  <c r="A161" i="1"/>
  <c r="C160" i="1"/>
  <c r="A160" i="1"/>
  <c r="C159" i="1"/>
  <c r="A159" i="1"/>
  <c r="C158" i="1"/>
  <c r="A158" i="1"/>
  <c r="C157" i="1"/>
  <c r="A157" i="1"/>
  <c r="C156" i="1"/>
  <c r="A156" i="1"/>
  <c r="C155" i="1"/>
  <c r="A155" i="1"/>
  <c r="C154" i="1"/>
  <c r="A154" i="1"/>
  <c r="C153" i="1"/>
  <c r="A153" i="1"/>
  <c r="C152" i="1"/>
  <c r="A152" i="1"/>
  <c r="C151" i="1"/>
  <c r="A151" i="1"/>
  <c r="C150" i="1"/>
  <c r="A150" i="1"/>
  <c r="C149" i="1"/>
  <c r="A149" i="1"/>
  <c r="C148" i="1"/>
  <c r="A148" i="1"/>
  <c r="C147" i="1"/>
  <c r="A147" i="1"/>
  <c r="C146" i="1"/>
  <c r="A146" i="1"/>
  <c r="C145" i="1"/>
  <c r="A145" i="1"/>
  <c r="C144" i="1"/>
  <c r="A144" i="1"/>
  <c r="C143" i="1"/>
  <c r="A143" i="1"/>
  <c r="C142" i="1"/>
  <c r="A142" i="1"/>
  <c r="C141" i="1"/>
  <c r="A141" i="1"/>
  <c r="C140" i="1"/>
  <c r="A140" i="1"/>
  <c r="C139" i="1"/>
  <c r="A139" i="1"/>
  <c r="C138" i="1"/>
  <c r="A138" i="1"/>
  <c r="C137" i="1"/>
  <c r="A137" i="1"/>
  <c r="C136" i="1"/>
  <c r="A136" i="1"/>
  <c r="C135" i="1"/>
  <c r="A135" i="1"/>
  <c r="C134" i="1"/>
  <c r="A134" i="1"/>
  <c r="C133" i="1"/>
  <c r="A133" i="1"/>
  <c r="C132" i="1"/>
  <c r="A132" i="1"/>
  <c r="C131" i="1"/>
  <c r="A131" i="1"/>
  <c r="C130" i="1"/>
  <c r="A130" i="1"/>
  <c r="C129" i="1"/>
  <c r="A129" i="1"/>
  <c r="C128" i="1"/>
  <c r="A128" i="1"/>
  <c r="C127" i="1"/>
  <c r="A127" i="1"/>
  <c r="C126" i="1"/>
  <c r="A126" i="1"/>
  <c r="C125" i="1"/>
  <c r="A125" i="1"/>
  <c r="C124" i="1"/>
  <c r="A124" i="1"/>
  <c r="C123" i="1"/>
  <c r="A123" i="1"/>
  <c r="C122" i="1"/>
  <c r="A122" i="1"/>
  <c r="C121" i="1"/>
  <c r="A121" i="1"/>
  <c r="C120" i="1"/>
  <c r="A120" i="1"/>
  <c r="C119" i="1"/>
  <c r="A119" i="1"/>
  <c r="C118" i="1"/>
  <c r="A118" i="1"/>
  <c r="C117" i="1"/>
  <c r="A117" i="1"/>
  <c r="C116" i="1"/>
  <c r="A116" i="1"/>
  <c r="C115" i="1"/>
  <c r="A115" i="1"/>
  <c r="C114" i="1"/>
  <c r="A114" i="1"/>
  <c r="C113" i="1"/>
  <c r="A113" i="1"/>
  <c r="C112" i="1"/>
  <c r="A112" i="1"/>
  <c r="C111" i="1"/>
  <c r="A111" i="1"/>
  <c r="C110" i="1"/>
  <c r="A110" i="1"/>
  <c r="C109" i="1"/>
  <c r="A109" i="1"/>
  <c r="C108" i="1"/>
  <c r="A108" i="1"/>
  <c r="C107" i="1"/>
  <c r="A107" i="1"/>
  <c r="C106" i="1"/>
  <c r="A106" i="1"/>
  <c r="C105" i="1"/>
  <c r="A105" i="1"/>
  <c r="C104" i="1"/>
  <c r="A104" i="1"/>
  <c r="C103" i="1"/>
  <c r="A103" i="1"/>
  <c r="C102" i="1"/>
  <c r="A102" i="1"/>
  <c r="C101" i="1"/>
  <c r="A101" i="1"/>
  <c r="C100" i="1"/>
  <c r="A100" i="1"/>
  <c r="C99" i="1"/>
  <c r="A99" i="1"/>
  <c r="C98" i="1"/>
  <c r="A98" i="1"/>
  <c r="C97" i="1"/>
  <c r="A97" i="1"/>
  <c r="C96" i="1"/>
  <c r="A96" i="1"/>
  <c r="C95" i="1"/>
  <c r="A95" i="1"/>
  <c r="C94" i="1"/>
  <c r="A94" i="1"/>
  <c r="C93" i="1"/>
  <c r="A93" i="1"/>
  <c r="C92" i="1"/>
  <c r="A92" i="1"/>
  <c r="C91" i="1"/>
  <c r="A91" i="1"/>
  <c r="C90" i="1"/>
  <c r="A90" i="1"/>
  <c r="C89" i="1"/>
  <c r="A89" i="1"/>
  <c r="C88" i="1"/>
  <c r="A88" i="1"/>
  <c r="C87" i="1"/>
  <c r="A87" i="1"/>
  <c r="C86" i="1"/>
  <c r="A86" i="1"/>
  <c r="C85" i="1"/>
  <c r="A85" i="1"/>
  <c r="C84" i="1"/>
  <c r="A84" i="1"/>
  <c r="C83" i="1"/>
  <c r="A83" i="1"/>
  <c r="C82" i="1"/>
  <c r="A82" i="1"/>
  <c r="C81" i="1"/>
  <c r="A81" i="1"/>
  <c r="C80" i="1"/>
  <c r="A80" i="1"/>
  <c r="C79" i="1"/>
  <c r="A79" i="1"/>
  <c r="C78" i="1"/>
  <c r="A78" i="1"/>
  <c r="C77" i="1"/>
  <c r="A77" i="1"/>
  <c r="C76" i="1"/>
  <c r="A76" i="1"/>
  <c r="C75" i="1"/>
  <c r="A75" i="1"/>
  <c r="C74" i="1"/>
  <c r="A74" i="1"/>
  <c r="C73" i="1"/>
  <c r="A73" i="1"/>
  <c r="C72" i="1"/>
  <c r="A72" i="1"/>
  <c r="C71" i="1"/>
  <c r="A71" i="1"/>
  <c r="C70" i="1"/>
  <c r="A70" i="1"/>
  <c r="C69" i="1"/>
  <c r="A69" i="1"/>
  <c r="C68" i="1"/>
  <c r="A68" i="1"/>
  <c r="C67" i="1"/>
  <c r="A67" i="1"/>
  <c r="C66" i="1"/>
  <c r="A66" i="1"/>
  <c r="C65" i="1"/>
  <c r="A65" i="1"/>
  <c r="C64" i="1"/>
  <c r="A64" i="1"/>
  <c r="C63" i="1"/>
  <c r="A63" i="1"/>
  <c r="C62" i="1"/>
  <c r="A62" i="1"/>
  <c r="C61" i="1"/>
  <c r="A61" i="1"/>
  <c r="C60" i="1"/>
  <c r="A60" i="1"/>
  <c r="C59" i="1"/>
  <c r="A59" i="1"/>
  <c r="C58" i="1"/>
  <c r="A58" i="1"/>
  <c r="C57" i="1"/>
  <c r="A57" i="1"/>
  <c r="C56" i="1"/>
  <c r="A56" i="1"/>
  <c r="C55" i="1"/>
  <c r="A55" i="1"/>
  <c r="C54" i="1"/>
  <c r="A54" i="1"/>
  <c r="C53" i="1"/>
  <c r="A53" i="1"/>
  <c r="C52" i="1"/>
  <c r="A52" i="1"/>
  <c r="C51" i="1"/>
  <c r="A51" i="1"/>
  <c r="C50" i="1"/>
  <c r="A50" i="1"/>
  <c r="C49" i="1"/>
  <c r="A49" i="1"/>
  <c r="C48" i="1"/>
  <c r="A48" i="1"/>
  <c r="C47" i="1"/>
  <c r="A47" i="1"/>
  <c r="C46" i="1"/>
  <c r="A46" i="1"/>
  <c r="C45" i="1"/>
  <c r="A45" i="1"/>
  <c r="C44" i="1"/>
  <c r="A44" i="1"/>
  <c r="C43" i="1"/>
  <c r="A43" i="1"/>
  <c r="C42" i="1"/>
  <c r="A42" i="1"/>
  <c r="C41" i="1"/>
  <c r="A41" i="1"/>
  <c r="C40" i="1"/>
  <c r="A40" i="1"/>
  <c r="C39" i="1"/>
  <c r="A39" i="1"/>
  <c r="C38" i="1"/>
  <c r="A38" i="1"/>
  <c r="C37" i="1"/>
  <c r="A37" i="1"/>
  <c r="C36" i="1"/>
  <c r="A36" i="1"/>
  <c r="C35" i="1"/>
  <c r="A35" i="1"/>
  <c r="C34" i="1"/>
  <c r="A34" i="1"/>
  <c r="C33" i="1"/>
  <c r="A33" i="1"/>
  <c r="C32" i="1"/>
  <c r="A32" i="1"/>
  <c r="C31" i="1"/>
  <c r="A31" i="1"/>
  <c r="C30" i="1"/>
  <c r="A30" i="1"/>
  <c r="C29" i="1"/>
  <c r="A29" i="1"/>
  <c r="C28" i="1"/>
  <c r="A28" i="1"/>
  <c r="C27" i="1"/>
  <c r="A27" i="1"/>
  <c r="C26" i="1"/>
  <c r="A26" i="1"/>
  <c r="C25" i="1"/>
  <c r="A25" i="1"/>
  <c r="C24" i="1"/>
  <c r="A24" i="1"/>
  <c r="C23" i="1"/>
  <c r="A23" i="1"/>
  <c r="C22" i="1"/>
  <c r="A22" i="1"/>
  <c r="C21" i="1"/>
  <c r="A21" i="1"/>
  <c r="C20" i="1"/>
  <c r="A20" i="1"/>
  <c r="C19" i="1"/>
  <c r="A19" i="1"/>
  <c r="C18" i="1"/>
  <c r="A18" i="1"/>
  <c r="C17" i="1"/>
  <c r="A17" i="1"/>
  <c r="C16" i="1"/>
  <c r="A16" i="1"/>
  <c r="C15" i="1"/>
  <c r="A15" i="1"/>
  <c r="C14" i="1"/>
  <c r="A14" i="1"/>
  <c r="C13" i="1"/>
  <c r="A13" i="1"/>
  <c r="C12" i="1"/>
  <c r="A12" i="1"/>
  <c r="C11" i="1"/>
  <c r="A11" i="1"/>
  <c r="C10" i="1"/>
  <c r="A10" i="1"/>
  <c r="C9" i="1"/>
  <c r="A9" i="1"/>
  <c r="C8" i="1"/>
  <c r="A8" i="1"/>
  <c r="C7" i="1"/>
  <c r="A7" i="1"/>
  <c r="C6" i="1"/>
  <c r="A6" i="1"/>
  <c r="C5" i="1"/>
  <c r="A5" i="1"/>
  <c r="C4" i="1"/>
  <c r="A4" i="1"/>
  <c r="C3" i="1"/>
  <c r="A3" i="1"/>
  <c r="C2" i="1"/>
  <c r="A2" i="1"/>
</calcChain>
</file>

<file path=xl/sharedStrings.xml><?xml version="1.0" encoding="utf-8"?>
<sst xmlns="http://schemas.openxmlformats.org/spreadsheetml/2006/main" count="6592" uniqueCount="794">
  <si>
    <t>Link</t>
  </si>
  <si>
    <t>Type</t>
  </si>
  <si>
    <t>Last Reddits</t>
  </si>
  <si>
    <t>Date</t>
  </si>
  <si>
    <t>Languages</t>
  </si>
  <si>
    <t>od</t>
  </si>
  <si>
    <t>2021-09-18</t>
  </si>
  <si>
    <t>2021-09-16</t>
  </si>
  <si>
    <t>russian</t>
  </si>
  <si>
    <t>2021-09-13</t>
  </si>
  <si>
    <t>2021-09-09</t>
  </si>
  <si>
    <t>2021-09-08</t>
  </si>
  <si>
    <t>2021-08-22</t>
  </si>
  <si>
    <t>2021-08-19</t>
  </si>
  <si>
    <t>english</t>
  </si>
  <si>
    <t>2021-08-18</t>
  </si>
  <si>
    <t>2021-08-11</t>
  </si>
  <si>
    <t>2021-08-04</t>
  </si>
  <si>
    <t>2021-08-02</t>
  </si>
  <si>
    <t>2021-07-30</t>
  </si>
  <si>
    <t>2021-07-29</t>
  </si>
  <si>
    <t>2021-07-28</t>
  </si>
  <si>
    <t>2021-07-15</t>
  </si>
  <si>
    <t>2021-06-23</t>
  </si>
  <si>
    <t>2021-06-20</t>
  </si>
  <si>
    <t>2021-06-19</t>
  </si>
  <si>
    <t>2021-06-16</t>
  </si>
  <si>
    <t>2021-06-03</t>
  </si>
  <si>
    <t>2021-06-02</t>
  </si>
  <si>
    <t>2021-05-20</t>
  </si>
  <si>
    <t>2021-05-12</t>
  </si>
  <si>
    <t>2021-05-07</t>
  </si>
  <si>
    <t>2021-05-06</t>
  </si>
  <si>
    <t>2021-04-27</t>
  </si>
  <si>
    <t>2021-04-22</t>
  </si>
  <si>
    <t>2021-04-08</t>
  </si>
  <si>
    <t>2021-04-07</t>
  </si>
  <si>
    <t>2018-09-23</t>
  </si>
  <si>
    <t>2021-04-03</t>
  </si>
  <si>
    <t>2021-04-02</t>
  </si>
  <si>
    <t>2021-04-01</t>
  </si>
  <si>
    <t>2021-03-31</t>
  </si>
  <si>
    <t>2021-03-28</t>
  </si>
  <si>
    <t>2021-03-16</t>
  </si>
  <si>
    <t>2021-03-15</t>
  </si>
  <si>
    <t>2021-03-14</t>
  </si>
  <si>
    <t>2021-03-02</t>
  </si>
  <si>
    <t>2021-02-20</t>
  </si>
  <si>
    <t>2021-02-19</t>
  </si>
  <si>
    <t>2021-02-18</t>
  </si>
  <si>
    <t>2021-02-03</t>
  </si>
  <si>
    <t>french</t>
  </si>
  <si>
    <t>2021-02-02</t>
  </si>
  <si>
    <t>2021-01-25</t>
  </si>
  <si>
    <t>2021-01-02</t>
  </si>
  <si>
    <t>2020-12-22</t>
  </si>
  <si>
    <t>2020-12-15</t>
  </si>
  <si>
    <t>2020-12-05</t>
  </si>
  <si>
    <t>2020-11-27</t>
  </si>
  <si>
    <t>2020-11-23</t>
  </si>
  <si>
    <t>2020-11-21</t>
  </si>
  <si>
    <t>chinese</t>
  </si>
  <si>
    <t>2020-06-08</t>
  </si>
  <si>
    <t>japanese</t>
  </si>
  <si>
    <t>2020-10-24</t>
  </si>
  <si>
    <t>2020-10-21</t>
  </si>
  <si>
    <t>2020-10-03</t>
  </si>
  <si>
    <t>2020-09-27</t>
  </si>
  <si>
    <t>2020-09-10</t>
  </si>
  <si>
    <t>2020-09-04</t>
  </si>
  <si>
    <t>2020-09-02</t>
  </si>
  <si>
    <t>2020-08-23</t>
  </si>
  <si>
    <t>2020-08-21</t>
  </si>
  <si>
    <t>2020-08-19</t>
  </si>
  <si>
    <t>2020-08-12</t>
  </si>
  <si>
    <t>2020-08-11</t>
  </si>
  <si>
    <t>2020-08-09</t>
  </si>
  <si>
    <t>2020-07-18</t>
  </si>
  <si>
    <t>2020-07-09</t>
  </si>
  <si>
    <t>2020-07-08</t>
  </si>
  <si>
    <t>2020-07-07</t>
  </si>
  <si>
    <t>2020-07-02</t>
  </si>
  <si>
    <t>2020-06-27</t>
  </si>
  <si>
    <t>2020-06-25</t>
  </si>
  <si>
    <t>2020-06-05</t>
  </si>
  <si>
    <t>2020-05-26</t>
  </si>
  <si>
    <t>2020-05-04</t>
  </si>
  <si>
    <t>2020-04-27</t>
  </si>
  <si>
    <t>2020-04-22</t>
  </si>
  <si>
    <t>2020-04-21</t>
  </si>
  <si>
    <t>2020-04-20</t>
  </si>
  <si>
    <t>2020-04-16</t>
  </si>
  <si>
    <t>2020-04-01</t>
  </si>
  <si>
    <t>2020-03-10</t>
  </si>
  <si>
    <t>2020-03-02</t>
  </si>
  <si>
    <t>2020-02-09</t>
  </si>
  <si>
    <t>2020-02-03</t>
  </si>
  <si>
    <t>2020-01-23</t>
  </si>
  <si>
    <t>2019-10-14</t>
  </si>
  <si>
    <t>2019-12-15</t>
  </si>
  <si>
    <t>2019-12-14</t>
  </si>
  <si>
    <t>2019-12-12</t>
  </si>
  <si>
    <t>2019-12-03</t>
  </si>
  <si>
    <t>2019-11-26</t>
  </si>
  <si>
    <t>2019-11-25</t>
  </si>
  <si>
    <t>2019-11-21</t>
  </si>
  <si>
    <t>2018-04-11</t>
  </si>
  <si>
    <t>2019-11-19</t>
  </si>
  <si>
    <t>2019-11-12</t>
  </si>
  <si>
    <t>2019-11-10</t>
  </si>
  <si>
    <t>2019-11-03</t>
  </si>
  <si>
    <t>2019-11-01</t>
  </si>
  <si>
    <t>2019-10-28</t>
  </si>
  <si>
    <t>2019-10-25</t>
  </si>
  <si>
    <t>2019-10-19</t>
  </si>
  <si>
    <t>2019-10-12</t>
  </si>
  <si>
    <t>2019-10-08</t>
  </si>
  <si>
    <t>2019-10-07</t>
  </si>
  <si>
    <t>2019-10-04</t>
  </si>
  <si>
    <t>2019-10-03</t>
  </si>
  <si>
    <t>2019-09-16</t>
  </si>
  <si>
    <t>2019-09-15</t>
  </si>
  <si>
    <t>2019-09-09</t>
  </si>
  <si>
    <t>2019-08-25</t>
  </si>
  <si>
    <t>2019-08-18</t>
  </si>
  <si>
    <t>2019-07-20</t>
  </si>
  <si>
    <t>2019-07-15</t>
  </si>
  <si>
    <t>2019-06-29</t>
  </si>
  <si>
    <t>japanese,russian,spanish,french,italian</t>
  </si>
  <si>
    <t>2019-06-07</t>
  </si>
  <si>
    <t>2019-05-14</t>
  </si>
  <si>
    <t>2019-05-01</t>
  </si>
  <si>
    <t>2019-04-28</t>
  </si>
  <si>
    <t>2019-04-15</t>
  </si>
  <si>
    <t>2019-03-19</t>
  </si>
  <si>
    <t>2019-03-02</t>
  </si>
  <si>
    <t>2019-02-28</t>
  </si>
  <si>
    <t>2019-02-26</t>
  </si>
  <si>
    <t>2019-02-24</t>
  </si>
  <si>
    <t>2019-02-08</t>
  </si>
  <si>
    <t>2019-02-05</t>
  </si>
  <si>
    <t>2019-02-02</t>
  </si>
  <si>
    <t>2019-01-27</t>
  </si>
  <si>
    <t>2019-01-25</t>
  </si>
  <si>
    <t>2019-01-23</t>
  </si>
  <si>
    <t>2019-01-21</t>
  </si>
  <si>
    <t>2019-01-14</t>
  </si>
  <si>
    <t>2019-01-07</t>
  </si>
  <si>
    <t>2019-01-04</t>
  </si>
  <si>
    <t>2018-12-31</t>
  </si>
  <si>
    <t>2018-12-25</t>
  </si>
  <si>
    <t>2018-12-24</t>
  </si>
  <si>
    <t>2018-12-20</t>
  </si>
  <si>
    <t>2018-12-12</t>
  </si>
  <si>
    <t>2018-10-23</t>
  </si>
  <si>
    <t>2016-09-25</t>
  </si>
  <si>
    <t>english,russian</t>
  </si>
  <si>
    <t>2018-09-14</t>
  </si>
  <si>
    <t>2018-08-23</t>
  </si>
  <si>
    <t>2018-08-14</t>
  </si>
  <si>
    <t>2018-08-06</t>
  </si>
  <si>
    <t>2018-07-27</t>
  </si>
  <si>
    <t>2018-07-25</t>
  </si>
  <si>
    <t>2018-07-19</t>
  </si>
  <si>
    <t>2017-07-25</t>
  </si>
  <si>
    <t>2018-07-13</t>
  </si>
  <si>
    <t>2018-06-28</t>
  </si>
  <si>
    <t>2018-06-17</t>
  </si>
  <si>
    <t>2018-06-07</t>
  </si>
  <si>
    <t>2018-05-29</t>
  </si>
  <si>
    <t>2018-05-26</t>
  </si>
  <si>
    <t>2018-05-15</t>
  </si>
  <si>
    <t>2018-04-14</t>
  </si>
  <si>
    <t>2018-04-12</t>
  </si>
  <si>
    <t>2018-03-09</t>
  </si>
  <si>
    <t>2018-03-05</t>
  </si>
  <si>
    <t>2018-02-08</t>
  </si>
  <si>
    <t>2017-12-31</t>
  </si>
  <si>
    <t>2017-12-30</t>
  </si>
  <si>
    <t>2017-12-11</t>
  </si>
  <si>
    <t>2017-12-09</t>
  </si>
  <si>
    <t>2017-12-08</t>
  </si>
  <si>
    <t>2017-12-06</t>
  </si>
  <si>
    <t>2017-11-28</t>
  </si>
  <si>
    <t>italian</t>
  </si>
  <si>
    <t>2017-11-23</t>
  </si>
  <si>
    <t>german</t>
  </si>
  <si>
    <t>2017-11-16</t>
  </si>
  <si>
    <t>2017-09-28</t>
  </si>
  <si>
    <t>2017-09-21</t>
  </si>
  <si>
    <t>2017-08-27</t>
  </si>
  <si>
    <t>2017-08-24</t>
  </si>
  <si>
    <t>2017-08-10</t>
  </si>
  <si>
    <t>2017-08-03</t>
  </si>
  <si>
    <t>2017-08-02</t>
  </si>
  <si>
    <t>2017-07-04</t>
  </si>
  <si>
    <t>2017-06-24</t>
  </si>
  <si>
    <t>2017-06-10</t>
  </si>
  <si>
    <t>2017-06-02</t>
  </si>
  <si>
    <t>2017-05-14</t>
  </si>
  <si>
    <t>2017-04-20</t>
  </si>
  <si>
    <t>2017-01-05</t>
  </si>
  <si>
    <t>2017-04-09</t>
  </si>
  <si>
    <t>2017-04-04</t>
  </si>
  <si>
    <t>2017-01-30</t>
  </si>
  <si>
    <t>2017-01-19</t>
  </si>
  <si>
    <t>2017-01-09</t>
  </si>
  <si>
    <t>2017-01-07</t>
  </si>
  <si>
    <t>2017-01-03</t>
  </si>
  <si>
    <t>2016-12-31</t>
  </si>
  <si>
    <t>2016-12-11</t>
  </si>
  <si>
    <t>2016-11-20</t>
  </si>
  <si>
    <t>2016-11-17</t>
  </si>
  <si>
    <t>2016-11-16</t>
  </si>
  <si>
    <t>2016-11-09</t>
  </si>
  <si>
    <t>2016-11-02</t>
  </si>
  <si>
    <t>2016-10-01</t>
  </si>
  <si>
    <t>2016-08-30</t>
  </si>
  <si>
    <t>2016-08-10</t>
  </si>
  <si>
    <t>german,english</t>
  </si>
  <si>
    <t>2016-07-27</t>
  </si>
  <si>
    <t>2016-07-05</t>
  </si>
  <si>
    <t>2016-06-20</t>
  </si>
  <si>
    <t>2016-05-26</t>
  </si>
  <si>
    <t>2016-04-18</t>
  </si>
  <si>
    <t>2016-02-23</t>
  </si>
  <si>
    <t>2016-02-05</t>
  </si>
  <si>
    <t>2016-01-17</t>
  </si>
  <si>
    <t>2016-01-14</t>
  </si>
  <si>
    <t>2016-01-13</t>
  </si>
  <si>
    <t>2016-01-11</t>
  </si>
  <si>
    <t>2015-12-27</t>
  </si>
  <si>
    <t>2015-12-26</t>
  </si>
  <si>
    <t>2015-11-27</t>
  </si>
  <si>
    <t>2015-11-22</t>
  </si>
  <si>
    <t>2015-11-19</t>
  </si>
  <si>
    <t>2015-11-18</t>
  </si>
  <si>
    <t>2015-10-28</t>
  </si>
  <si>
    <t>2015-10-14</t>
  </si>
  <si>
    <t>2015-08-07</t>
  </si>
  <si>
    <t>2015-07-25</t>
  </si>
  <si>
    <t>2015-07-14</t>
  </si>
  <si>
    <t>2015-07-08</t>
  </si>
  <si>
    <t>2015-04-14</t>
  </si>
  <si>
    <t>2015-03-19</t>
  </si>
  <si>
    <t>2015-02-03</t>
  </si>
  <si>
    <t>2014-11-16</t>
  </si>
  <si>
    <t>2012-08-23</t>
  </si>
  <si>
    <t>2011-09-30</t>
  </si>
  <si>
    <t>2011-03-22</t>
  </si>
  <si>
    <t>2010-11-20</t>
  </si>
  <si>
    <t>2010-11-13</t>
  </si>
  <si>
    <t>2010-10-05</t>
  </si>
  <si>
    <t>2010-09-02</t>
  </si>
  <si>
    <t>2010-06-10</t>
  </si>
  <si>
    <t>2009-10-22</t>
  </si>
  <si>
    <t>2009-09-17</t>
  </si>
  <si>
    <t>2009-09-15</t>
  </si>
  <si>
    <t>2009-07-21</t>
  </si>
  <si>
    <t>2009-07-08</t>
  </si>
  <si>
    <t>2021-09-15</t>
  </si>
  <si>
    <t>2021-09-10</t>
  </si>
  <si>
    <t>2020-05-29</t>
  </si>
  <si>
    <t>spanish,english</t>
  </si>
  <si>
    <t>2021-07-13</t>
  </si>
  <si>
    <t>2018-09-26</t>
  </si>
  <si>
    <t>2020-11-11</t>
  </si>
  <si>
    <t>2021-06-25</t>
  </si>
  <si>
    <t>2021-06-22</t>
  </si>
  <si>
    <t>2021-06-05</t>
  </si>
  <si>
    <t>2021-06-04</t>
  </si>
  <si>
    <t>2021-05-30</t>
  </si>
  <si>
    <t>2020-07-11</t>
  </si>
  <si>
    <t>2019-06-05</t>
  </si>
  <si>
    <t>2021-04-05</t>
  </si>
  <si>
    <t>2015-07-17</t>
  </si>
  <si>
    <t>2021-03-29</t>
  </si>
  <si>
    <t>2018-03-11</t>
  </si>
  <si>
    <t>2020-11-13</t>
  </si>
  <si>
    <t>german,english,japanese</t>
  </si>
  <si>
    <t>2017-02-23</t>
  </si>
  <si>
    <t>2021-03-13</t>
  </si>
  <si>
    <t>2021-03-12</t>
  </si>
  <si>
    <t>2021-03-10</t>
  </si>
  <si>
    <t>2019-02-21</t>
  </si>
  <si>
    <t>2021-03-07</t>
  </si>
  <si>
    <t>2021-02-26</t>
  </si>
  <si>
    <t>2021-02-15</t>
  </si>
  <si>
    <t>2021-02-17</t>
  </si>
  <si>
    <t>2020-11-26</t>
  </si>
  <si>
    <t>2021-02-12</t>
  </si>
  <si>
    <t>2021-02-11</t>
  </si>
  <si>
    <t>2021-02-08</t>
  </si>
  <si>
    <t>2021-01-20</t>
  </si>
  <si>
    <t>2021-01-29</t>
  </si>
  <si>
    <t>2021-01-12</t>
  </si>
  <si>
    <t>2021-01-05</t>
  </si>
  <si>
    <t>2020-12-27</t>
  </si>
  <si>
    <t>2020-12-18</t>
  </si>
  <si>
    <t>2020-12-11</t>
  </si>
  <si>
    <t>2020-12-10</t>
  </si>
  <si>
    <t>2020-12-06</t>
  </si>
  <si>
    <t>2020-09-13</t>
  </si>
  <si>
    <t>2019-01-02</t>
  </si>
  <si>
    <t>2015-05-20</t>
  </si>
  <si>
    <t>2020-12-01</t>
  </si>
  <si>
    <t>2015-04-18</t>
  </si>
  <si>
    <t>2017-01-11</t>
  </si>
  <si>
    <t>2020-11-18</t>
  </si>
  <si>
    <t>2020-11-04</t>
  </si>
  <si>
    <t>2020-11-02</t>
  </si>
  <si>
    <t>2020-10-28</t>
  </si>
  <si>
    <t>2020-10-26</t>
  </si>
  <si>
    <t>2020-10-14</t>
  </si>
  <si>
    <t>2020-09-14</t>
  </si>
  <si>
    <t>2020-09-01</t>
  </si>
  <si>
    <t>2020-06-09</t>
  </si>
  <si>
    <t>2019-01-11</t>
  </si>
  <si>
    <t>2020-03-27</t>
  </si>
  <si>
    <t>2020-03-16</t>
  </si>
  <si>
    <t>2020-02-19</t>
  </si>
  <si>
    <t>2017-03-22</t>
  </si>
  <si>
    <t>2020-01-18</t>
  </si>
  <si>
    <t>2019-11-24</t>
  </si>
  <si>
    <t>2019-02-18</t>
  </si>
  <si>
    <t>2019-11-15</t>
  </si>
  <si>
    <t>2019-11-13</t>
  </si>
  <si>
    <t>2019-10-06</t>
  </si>
  <si>
    <t>2019-09-20</t>
  </si>
  <si>
    <t>2019-06-12</t>
  </si>
  <si>
    <t>2019-04-21</t>
  </si>
  <si>
    <t>2019-03-31</t>
  </si>
  <si>
    <t>2019-03-15</t>
  </si>
  <si>
    <t>2019-02-04</t>
  </si>
  <si>
    <t>2019-01-29</t>
  </si>
  <si>
    <t>2019-01-22</t>
  </si>
  <si>
    <t>2019-01-10</t>
  </si>
  <si>
    <t>2019-01-09</t>
  </si>
  <si>
    <t>2019-01-08</t>
  </si>
  <si>
    <t>2018-12-01</t>
  </si>
  <si>
    <t>2018-11-28</t>
  </si>
  <si>
    <t>2012-12-24</t>
  </si>
  <si>
    <t>2018-11-08</t>
  </si>
  <si>
    <t>2018-10-30</t>
  </si>
  <si>
    <t>2018-10-26</t>
  </si>
  <si>
    <t>2018-08-04</t>
  </si>
  <si>
    <t>2017-12-01</t>
  </si>
  <si>
    <t>2018-01-24</t>
  </si>
  <si>
    <t>2018-01-02</t>
  </si>
  <si>
    <t>2017-12-22</t>
  </si>
  <si>
    <t>2017-10-31</t>
  </si>
  <si>
    <t>2017-10-05</t>
  </si>
  <si>
    <t>2016-09-09</t>
  </si>
  <si>
    <t>2017-02-05</t>
  </si>
  <si>
    <t>2016-07-14</t>
  </si>
  <si>
    <t>2016-03-31</t>
  </si>
  <si>
    <t>2016-03-26</t>
  </si>
  <si>
    <t>2015-07-29</t>
  </si>
  <si>
    <t>2015-09-20</t>
  </si>
  <si>
    <t>french,english</t>
  </si>
  <si>
    <t>2014-12-07</t>
  </si>
  <si>
    <t>2021-09-17</t>
  </si>
  <si>
    <t>2021-09-14</t>
  </si>
  <si>
    <t>2021-09-03</t>
  </si>
  <si>
    <t>2021-09-02</t>
  </si>
  <si>
    <t>2021-01-13</t>
  </si>
  <si>
    <t>2021-06-08</t>
  </si>
  <si>
    <t>japanese,english</t>
  </si>
  <si>
    <t>2020-11-10</t>
  </si>
  <si>
    <t>2021-07-12</t>
  </si>
  <si>
    <t>2021-07-11</t>
  </si>
  <si>
    <t>2021-07-01</t>
  </si>
  <si>
    <t>2021-06-30</t>
  </si>
  <si>
    <t>2021-02-28</t>
  </si>
  <si>
    <t>2020-09-06</t>
  </si>
  <si>
    <t>2021-05-25</t>
  </si>
  <si>
    <t>2021-06-10</t>
  </si>
  <si>
    <t>spanish</t>
  </si>
  <si>
    <t>2021-05-27</t>
  </si>
  <si>
    <t>2020-05-30</t>
  </si>
  <si>
    <t>2021-05-24</t>
  </si>
  <si>
    <t>2021-05-18</t>
  </si>
  <si>
    <t>2021-04-28</t>
  </si>
  <si>
    <t>2021-03-30</t>
  </si>
  <si>
    <t>2021-02-14</t>
  </si>
  <si>
    <t>2020-08-15</t>
  </si>
  <si>
    <t>2021-04-06</t>
  </si>
  <si>
    <t>2021-04-04</t>
  </si>
  <si>
    <t>2021-03-11</t>
  </si>
  <si>
    <t>2021-03-03</t>
  </si>
  <si>
    <t>2021-02-22</t>
  </si>
  <si>
    <t>2021-02-21</t>
  </si>
  <si>
    <t>2021-02-04</t>
  </si>
  <si>
    <t>2017-08-25</t>
  </si>
  <si>
    <t>2021-01-14</t>
  </si>
  <si>
    <t>2020-11-28</t>
  </si>
  <si>
    <t>2019-02-11</t>
  </si>
  <si>
    <t>2020-11-22</t>
  </si>
  <si>
    <t>2020-11-15</t>
  </si>
  <si>
    <t>2020-10-05</t>
  </si>
  <si>
    <t>2020-06-16</t>
  </si>
  <si>
    <t>2020-08-18</t>
  </si>
  <si>
    <t>2020-07-27</t>
  </si>
  <si>
    <t>2020-07-20</t>
  </si>
  <si>
    <t>2020-07-12</t>
  </si>
  <si>
    <t>2020-04-15</t>
  </si>
  <si>
    <t>2020-05-21</t>
  </si>
  <si>
    <t>2019-09-17</t>
  </si>
  <si>
    <t>2020-03-13</t>
  </si>
  <si>
    <t>2020-02-20</t>
  </si>
  <si>
    <t>2020-01-29</t>
  </si>
  <si>
    <t>2020-01-11</t>
  </si>
  <si>
    <t>2019-12-21</t>
  </si>
  <si>
    <t>2019-12-08</t>
  </si>
  <si>
    <t>2019-01-26</t>
  </si>
  <si>
    <t>2018-05-24</t>
  </si>
  <si>
    <t>2019-08-10</t>
  </si>
  <si>
    <t>2019-06-10</t>
  </si>
  <si>
    <t>2019-04-07</t>
  </si>
  <si>
    <t>2019-03-09</t>
  </si>
  <si>
    <t>2019-01-15</t>
  </si>
  <si>
    <t>2018-11-17</t>
  </si>
  <si>
    <t>2018-08-05</t>
  </si>
  <si>
    <t>2018-05-12</t>
  </si>
  <si>
    <t>2017-02-10</t>
  </si>
  <si>
    <t>2016-12-10</t>
  </si>
  <si>
    <t>2017-05-09</t>
  </si>
  <si>
    <t>2017-04-28</t>
  </si>
  <si>
    <t>2016-12-20</t>
  </si>
  <si>
    <t>2016-10-05</t>
  </si>
  <si>
    <t>2016-09-29</t>
  </si>
  <si>
    <t>2016-02-22</t>
  </si>
  <si>
    <t>2015-12-04</t>
  </si>
  <si>
    <t>2015-06-28</t>
  </si>
  <si>
    <t>2015-03-25</t>
  </si>
  <si>
    <t>2015-03-02</t>
  </si>
  <si>
    <t>2012-05-16</t>
  </si>
  <si>
    <t>2012-05-08</t>
  </si>
  <si>
    <t>2009-07-23</t>
  </si>
  <si>
    <t>Notes</t>
  </si>
  <si>
    <t>2021-08-13</t>
  </si>
  <si>
    <t>TOTAL NSFW</t>
  </si>
  <si>
    <r>
      <rPr>
        <sz val="11"/>
        <color rgb="FF000000"/>
        <rFont val="Calibri"/>
        <family val="2"/>
        <charset val="1"/>
      </rPr>
      <t xml:space="preserve">INCLUDES </t>
    </r>
    <r>
      <rPr>
        <b/>
        <sz val="11"/>
        <color rgb="FF000000"/>
        <rFont val="Calibri"/>
        <family val="2"/>
        <charset val="1"/>
      </rPr>
      <t>NSFW</t>
    </r>
    <r>
      <rPr>
        <sz val="11"/>
        <color rgb="FF000000"/>
        <rFont val="Calibri"/>
        <family val="2"/>
        <charset val="1"/>
      </rPr>
      <t xml:space="preserve"> DIR. BE AWARE</t>
    </r>
  </si>
  <si>
    <t>english; SLOW</t>
  </si>
  <si>
    <r>
      <rPr>
        <sz val="11"/>
        <color rgb="FF000000"/>
        <rFont val="Calibri"/>
        <family val="2"/>
        <charset val="1"/>
      </rPr>
      <t xml:space="preserve">english; </t>
    </r>
    <r>
      <rPr>
        <b/>
        <sz val="11"/>
        <color rgb="FF000000"/>
        <rFont val="Calibri"/>
        <family val="2"/>
        <charset val="1"/>
      </rPr>
      <t>NSFW</t>
    </r>
    <r>
      <rPr>
        <sz val="11"/>
        <color rgb="FF000000"/>
        <rFont val="Calibri"/>
        <family val="2"/>
        <charset val="1"/>
      </rPr>
      <t xml:space="preserve"> everywhere other than MOVIES dir.</t>
    </r>
  </si>
  <si>
    <t>Falling Skies</t>
  </si>
  <si>
    <t>2021-01-28</t>
  </si>
  <si>
    <t>2020-10-11</t>
  </si>
  <si>
    <t>2020-08-14</t>
  </si>
  <si>
    <t>2020-08-03</t>
  </si>
  <si>
    <t>2020-04-13</t>
  </si>
  <si>
    <t>2019-08-20</t>
  </si>
  <si>
    <t>2019-05-16</t>
  </si>
  <si>
    <t>2019-01-28</t>
  </si>
  <si>
    <t>2019-01-24</t>
  </si>
  <si>
    <t>2017-12-21</t>
  </si>
  <si>
    <t>2016-07-09</t>
  </si>
  <si>
    <t>2016-03-25</t>
  </si>
  <si>
    <t>2012-09-25</t>
  </si>
  <si>
    <t>2021-09-12</t>
  </si>
  <si>
    <t>2021-06-06</t>
  </si>
  <si>
    <t>2021-05-23</t>
  </si>
  <si>
    <t>2021-05-11</t>
  </si>
  <si>
    <t>2021-05-05</t>
  </si>
  <si>
    <t>2021-04-26</t>
  </si>
  <si>
    <t>2021-04-21</t>
  </si>
  <si>
    <t>2020-10-18</t>
  </si>
  <si>
    <t>2019-11-07</t>
  </si>
  <si>
    <t>2021-03-04</t>
  </si>
  <si>
    <t>2021-02-24</t>
  </si>
  <si>
    <t>2019-10-23</t>
  </si>
  <si>
    <t>2021-02-01</t>
  </si>
  <si>
    <t>2020-01-24</t>
  </si>
  <si>
    <t>2021-01-18</t>
  </si>
  <si>
    <t>2020-10-27</t>
  </si>
  <si>
    <t>2020-10-17</t>
  </si>
  <si>
    <t>2020-09-28</t>
  </si>
  <si>
    <t>2020-09-24</t>
  </si>
  <si>
    <t>2020-06-06</t>
  </si>
  <si>
    <t>2020-09-05</t>
  </si>
  <si>
    <t>2020-08-16</t>
  </si>
  <si>
    <t>2020-08-13</t>
  </si>
  <si>
    <t>2020-07-25</t>
  </si>
  <si>
    <t>2020-07-21</t>
  </si>
  <si>
    <t>2020-07-14</t>
  </si>
  <si>
    <t>2020-07-13</t>
  </si>
  <si>
    <t>2020-02-02</t>
  </si>
  <si>
    <t>2019-05-12</t>
  </si>
  <si>
    <t>2019-09-30</t>
  </si>
  <si>
    <t>2019-09-25</t>
  </si>
  <si>
    <t>2019-06-20</t>
  </si>
  <si>
    <t>2019-05-22</t>
  </si>
  <si>
    <t>2019-03-06</t>
  </si>
  <si>
    <t>2018-01-27</t>
  </si>
  <si>
    <t>2019-01-19</t>
  </si>
  <si>
    <t>2018-11-16</t>
  </si>
  <si>
    <t>2018-05-19</t>
  </si>
  <si>
    <t>2018-09-05</t>
  </si>
  <si>
    <t>2018-06-26</t>
  </si>
  <si>
    <t>2018-06-19</t>
  </si>
  <si>
    <t>2018-05-28</t>
  </si>
  <si>
    <t>2018-05-04</t>
  </si>
  <si>
    <t>2018-01-12</t>
  </si>
  <si>
    <t>2018-01-03</t>
  </si>
  <si>
    <t>2017-12-20</t>
  </si>
  <si>
    <t>2017-10-23</t>
  </si>
  <si>
    <t>2017-10-16</t>
  </si>
  <si>
    <t>2017-09-18</t>
  </si>
  <si>
    <t>2017-02-16</t>
  </si>
  <si>
    <t>2017-01-27</t>
  </si>
  <si>
    <t>2016-09-18</t>
  </si>
  <si>
    <t>2015-10-30</t>
  </si>
  <si>
    <t>2015-07-19</t>
  </si>
  <si>
    <t>2014-12-01</t>
  </si>
  <si>
    <t>2009-07-13</t>
  </si>
  <si>
    <t>2021-09-11</t>
  </si>
  <si>
    <t>2021-08-21</t>
  </si>
  <si>
    <t>2021-08-16</t>
  </si>
  <si>
    <t>2021-07-27</t>
  </si>
  <si>
    <t>2021-05-16</t>
  </si>
  <si>
    <t>2021-03-09</t>
  </si>
  <si>
    <t>2021-01-08</t>
  </si>
  <si>
    <t>2020-12-16</t>
  </si>
  <si>
    <t>2020-12-13</t>
  </si>
  <si>
    <t>2020-11-12</t>
  </si>
  <si>
    <t>2020-06-13</t>
  </si>
  <si>
    <t>2020-05-28</t>
  </si>
  <si>
    <t>2020-05-02</t>
  </si>
  <si>
    <t>2020-04-14</t>
  </si>
  <si>
    <t>2020-04-04</t>
  </si>
  <si>
    <t>2020-03-25</t>
  </si>
  <si>
    <t>2020-02-04</t>
  </si>
  <si>
    <t>2020-01-26</t>
  </si>
  <si>
    <t>2018-06-25</t>
  </si>
  <si>
    <t>2018-11-25</t>
  </si>
  <si>
    <t>2019-11-08</t>
  </si>
  <si>
    <t>2019-10-11</t>
  </si>
  <si>
    <t>2019-05-31</t>
  </si>
  <si>
    <t>2009-07-22</t>
  </si>
  <si>
    <t>2019-01-13</t>
  </si>
  <si>
    <t>2018-12-15</t>
  </si>
  <si>
    <t>2018-12-13</t>
  </si>
  <si>
    <t>2017-06-21</t>
  </si>
  <si>
    <t>2018-11-02</t>
  </si>
  <si>
    <t>2018-07-23</t>
  </si>
  <si>
    <t>2015-01-02</t>
  </si>
  <si>
    <t>japanese,english,russian</t>
  </si>
  <si>
    <t>2018-05-05</t>
  </si>
  <si>
    <t>2018-01-14</t>
  </si>
  <si>
    <t>2017-12-19</t>
  </si>
  <si>
    <t>2017-12-10</t>
  </si>
  <si>
    <t>2017-10-24</t>
  </si>
  <si>
    <t>2017-09-09</t>
  </si>
  <si>
    <t>2017-08-09</t>
  </si>
  <si>
    <t>2017-07-07</t>
  </si>
  <si>
    <t>2017-06-30</t>
  </si>
  <si>
    <t>2017-05-29</t>
  </si>
  <si>
    <t>2017-03-30</t>
  </si>
  <si>
    <t>2017-03-06</t>
  </si>
  <si>
    <t>2016-10-06</t>
  </si>
  <si>
    <t>2016-09-07</t>
  </si>
  <si>
    <t>2017-01-10</t>
  </si>
  <si>
    <t>2016-12-09</t>
  </si>
  <si>
    <t>2016-09-16</t>
  </si>
  <si>
    <t>2016-08-02</t>
  </si>
  <si>
    <t>2016-05-10</t>
  </si>
  <si>
    <t>2016-04-01</t>
  </si>
  <si>
    <t>2016-03-03</t>
  </si>
  <si>
    <t>2016-01-22</t>
  </si>
  <si>
    <t>2015-04-29</t>
  </si>
  <si>
    <t>2015-03-18</t>
  </si>
  <si>
    <t>2014-11-10</t>
  </si>
  <si>
    <t>2014-08-07</t>
  </si>
  <si>
    <t>2010-11-15</t>
  </si>
  <si>
    <t>2010-11-04</t>
  </si>
  <si>
    <t>2010-07-16</t>
  </si>
  <si>
    <t>2009-12-01</t>
  </si>
  <si>
    <t>2018-08-02</t>
  </si>
  <si>
    <t>2017-03-31</t>
  </si>
  <si>
    <t>2020-09-26</t>
  </si>
  <si>
    <t>2021-08-12</t>
  </si>
  <si>
    <t>2021-08-05</t>
  </si>
  <si>
    <t>2021-06-15</t>
  </si>
  <si>
    <t>2017-05-22</t>
  </si>
  <si>
    <t>2021-05-26</t>
  </si>
  <si>
    <t>2020-10-23</t>
  </si>
  <si>
    <t>2021-04-15</t>
  </si>
  <si>
    <t>2015-05-16</t>
  </si>
  <si>
    <t>2020-04-02</t>
  </si>
  <si>
    <t>2021-01-15</t>
  </si>
  <si>
    <t>2021-01-06</t>
  </si>
  <si>
    <t>2020-09-07</t>
  </si>
  <si>
    <t>dutch,english</t>
  </si>
  <si>
    <t>2018-09-03</t>
  </si>
  <si>
    <t>spanish,dutch,english</t>
  </si>
  <si>
    <t>2019-07-12</t>
  </si>
  <si>
    <t>2020-07-23</t>
  </si>
  <si>
    <t>2020-07-17</t>
  </si>
  <si>
    <t>2020-06-17</t>
  </si>
  <si>
    <t>2020-05-16</t>
  </si>
  <si>
    <t>2019-12-24</t>
  </si>
  <si>
    <t>dutch,english,italian</t>
  </si>
  <si>
    <t>2020-04-23</t>
  </si>
  <si>
    <t>2020-02-26</t>
  </si>
  <si>
    <t>2017-04-25</t>
  </si>
  <si>
    <t>german,english,dutch,italian</t>
  </si>
  <si>
    <t>2019-12-09</t>
  </si>
  <si>
    <t>2020-03-09</t>
  </si>
  <si>
    <t>2020-02-06</t>
  </si>
  <si>
    <t>2020-01-27</t>
  </si>
  <si>
    <t>2020-01-01</t>
  </si>
  <si>
    <t>2019-12-27</t>
  </si>
  <si>
    <t>2019-12-07</t>
  </si>
  <si>
    <t>2019-08-17</t>
  </si>
  <si>
    <t>2016-05-27</t>
  </si>
  <si>
    <t>2019-06-11</t>
  </si>
  <si>
    <t>2019-06-08</t>
  </si>
  <si>
    <t>2019-04-27</t>
  </si>
  <si>
    <t>2019-03-17</t>
  </si>
  <si>
    <t>2019-01-31</t>
  </si>
  <si>
    <t>2016-05-20</t>
  </si>
  <si>
    <t>2019-01-17</t>
  </si>
  <si>
    <t>2017-09-02</t>
  </si>
  <si>
    <t>2018-08-30</t>
  </si>
  <si>
    <t>2018-06-12</t>
  </si>
  <si>
    <t>2018-05-25</t>
  </si>
  <si>
    <t>2018-03-22</t>
  </si>
  <si>
    <t>2017-12-24</t>
  </si>
  <si>
    <t>2014-12-17</t>
  </si>
  <si>
    <t>2017-03-11</t>
  </si>
  <si>
    <t>2017-03-02</t>
  </si>
  <si>
    <t>2017-02-13</t>
  </si>
  <si>
    <t>2016-11-11</t>
  </si>
  <si>
    <t>2016-11-03</t>
  </si>
  <si>
    <t>2016-09-14</t>
  </si>
  <si>
    <t>2016-08-22</t>
  </si>
  <si>
    <t>2016-06-12</t>
  </si>
  <si>
    <t>2016-04-17</t>
  </si>
  <si>
    <t>2016-04-07</t>
  </si>
  <si>
    <t>2016-03-19</t>
  </si>
  <si>
    <t>2015-12-02</t>
  </si>
  <si>
    <t>2015-09-24</t>
  </si>
  <si>
    <t>2014-10-07</t>
  </si>
  <si>
    <t>2009-12-11</t>
  </si>
  <si>
    <t>2021-06-27</t>
  </si>
  <si>
    <t>2020-11-25</t>
  </si>
  <si>
    <t>2020-08-27</t>
  </si>
  <si>
    <t>2020-07-22</t>
  </si>
  <si>
    <t>2020-05-06</t>
  </si>
  <si>
    <t>2020-05-01</t>
  </si>
  <si>
    <t>2020-04-29</t>
  </si>
  <si>
    <t>2019-03-08</t>
  </si>
  <si>
    <t>2020-02-11</t>
  </si>
  <si>
    <t>2019-09-29</t>
  </si>
  <si>
    <t>2019-09-13</t>
  </si>
  <si>
    <t>2017-12-17</t>
  </si>
  <si>
    <t>2019-02-14</t>
  </si>
  <si>
    <t>2018-09-19</t>
  </si>
  <si>
    <t>2018-09-12</t>
  </si>
  <si>
    <t>2018-03-03</t>
  </si>
  <si>
    <t>2018-04-26</t>
  </si>
  <si>
    <t>2018-04-08</t>
  </si>
  <si>
    <t>2018-03-08</t>
  </si>
  <si>
    <t>2017-11-14</t>
  </si>
  <si>
    <t>2017-12-25</t>
  </si>
  <si>
    <t>2017-12-07</t>
  </si>
  <si>
    <t>2017-11-20</t>
  </si>
  <si>
    <t>2017-03-18</t>
  </si>
  <si>
    <t>2016-12-25</t>
  </si>
  <si>
    <t>2015-07-16</t>
  </si>
  <si>
    <t>2015-04-25</t>
  </si>
  <si>
    <t>2014-12-05</t>
  </si>
  <si>
    <t>2014-08-18</t>
  </si>
  <si>
    <t>2010-12-24</t>
  </si>
  <si>
    <t>2021-04-29</t>
  </si>
  <si>
    <t>2014-11-24</t>
  </si>
  <si>
    <t>2019-01-20</t>
  </si>
  <si>
    <t>2018-05-20</t>
  </si>
  <si>
    <t>2021-04-16</t>
  </si>
  <si>
    <t>2021-01-31</t>
  </si>
  <si>
    <t>2020-12-20</t>
  </si>
  <si>
    <t>2020-08-05</t>
  </si>
  <si>
    <t>2018-07-14</t>
  </si>
  <si>
    <t>2019-12-05</t>
  </si>
  <si>
    <t>2019-11-22</t>
  </si>
  <si>
    <t>2019-11-20</t>
  </si>
  <si>
    <t>2019-09-28</t>
  </si>
  <si>
    <t>2019-05-13</t>
  </si>
  <si>
    <t>2018-10-10</t>
  </si>
  <si>
    <t>2017-10-17</t>
  </si>
  <si>
    <t>2017-06-09</t>
  </si>
  <si>
    <t>2017-05-11</t>
  </si>
  <si>
    <t>2015-08-09</t>
  </si>
  <si>
    <t>2015-07-07</t>
  </si>
  <si>
    <t>2012-01-31</t>
  </si>
  <si>
    <t>2021-08-28</t>
  </si>
  <si>
    <t>2021-08-27</t>
  </si>
  <si>
    <t>2021-08-17</t>
  </si>
  <si>
    <t>2021-02-13</t>
  </si>
  <si>
    <t>2020-12-19</t>
  </si>
  <si>
    <t>2020-07-15</t>
  </si>
  <si>
    <t>2020-05-14</t>
  </si>
  <si>
    <t>2020-02-01</t>
  </si>
  <si>
    <t>2019-10-24</t>
  </si>
  <si>
    <t>2019-10-16</t>
  </si>
  <si>
    <t>2019-09-27</t>
  </si>
  <si>
    <t>2018-09-01</t>
  </si>
  <si>
    <t>2018-04-21</t>
  </si>
  <si>
    <t>2017-05-21</t>
  </si>
  <si>
    <t>2016-10-24</t>
  </si>
  <si>
    <t>2016-07-26</t>
  </si>
  <si>
    <t>2016-03-04</t>
  </si>
  <si>
    <t>2010-07-13</t>
  </si>
  <si>
    <t>2016-09-13</t>
  </si>
  <si>
    <t>2021-09-06</t>
  </si>
  <si>
    <t>2021-09-05</t>
  </si>
  <si>
    <t>2021-08-10</t>
  </si>
  <si>
    <t>2021-08-08</t>
  </si>
  <si>
    <t>2021-08-06</t>
  </si>
  <si>
    <t>2021-06-21</t>
  </si>
  <si>
    <t>2021-06-01</t>
  </si>
  <si>
    <t>2021-05-19</t>
  </si>
  <si>
    <t>2021-05-04</t>
  </si>
  <si>
    <t>2021-04-17</t>
  </si>
  <si>
    <t>2021-03-27</t>
  </si>
  <si>
    <t>2019-08-04</t>
  </si>
  <si>
    <t>2021-01-19</t>
  </si>
  <si>
    <t>2021-01-03</t>
  </si>
  <si>
    <t>2020-12-09</t>
  </si>
  <si>
    <t>2020-12-07</t>
  </si>
  <si>
    <t>2020-11-29</t>
  </si>
  <si>
    <t>2020-10-30</t>
  </si>
  <si>
    <t>2020-10-29</t>
  </si>
  <si>
    <t>2020-03-11</t>
  </si>
  <si>
    <t>2020-10-19</t>
  </si>
  <si>
    <t>2020-10-02</t>
  </si>
  <si>
    <t>2020-10-01</t>
  </si>
  <si>
    <t>2020-09-30</t>
  </si>
  <si>
    <t>2020-07-10</t>
  </si>
  <si>
    <t>2020-06-19</t>
  </si>
  <si>
    <t>2020-06-03</t>
  </si>
  <si>
    <t>2020-04-24</t>
  </si>
  <si>
    <t>2020-01-30</t>
  </si>
  <si>
    <t>2020-01-08</t>
  </si>
  <si>
    <t>2019-11-27</t>
  </si>
  <si>
    <t>2019-10-17</t>
  </si>
  <si>
    <t>2019-08-21</t>
  </si>
  <si>
    <t>2019-07-26</t>
  </si>
  <si>
    <t>2019-01-01</t>
  </si>
  <si>
    <t>2018-12-28</t>
  </si>
  <si>
    <t>2018-10-15</t>
  </si>
  <si>
    <t>2018-09-29</t>
  </si>
  <si>
    <t>2018-09-22</t>
  </si>
  <si>
    <t>2018-09-09</t>
  </si>
  <si>
    <t>2018-07-29</t>
  </si>
  <si>
    <t>2017-04-21</t>
  </si>
  <si>
    <t>2018-03-06</t>
  </si>
  <si>
    <t>2017-12-02</t>
  </si>
  <si>
    <t>2017-05-10</t>
  </si>
  <si>
    <t>2017-01-12</t>
  </si>
  <si>
    <t>2015-03-14</t>
  </si>
  <si>
    <t>2016-10-31</t>
  </si>
  <si>
    <t>2016-10-28</t>
  </si>
  <si>
    <t>2016-10-26</t>
  </si>
  <si>
    <t>2016-09-03</t>
  </si>
  <si>
    <t>2016-05-11</t>
  </si>
  <si>
    <t>2014-11-12</t>
  </si>
  <si>
    <t>2015-11-30</t>
  </si>
  <si>
    <t>2015-10-04</t>
  </si>
  <si>
    <t>2015-07-11</t>
  </si>
  <si>
    <t>2015-07-10</t>
  </si>
  <si>
    <t>2014-11-17</t>
  </si>
  <si>
    <t>unregistered</t>
  </si>
  <si>
    <t>Not found</t>
  </si>
  <si>
    <t>german faggot</t>
  </si>
  <si>
    <t>Now Access Denied</t>
  </si>
  <si>
    <t>2020-01-14</t>
  </si>
  <si>
    <t>2020-01-10</t>
  </si>
  <si>
    <t>2019-10-10</t>
  </si>
  <si>
    <t>2015-10-16</t>
  </si>
  <si>
    <t>2015-10-22</t>
  </si>
  <si>
    <t>2018-09-06</t>
  </si>
  <si>
    <t>2018-06-08</t>
  </si>
  <si>
    <t>2018-01-11</t>
  </si>
  <si>
    <t>2017-08-16</t>
  </si>
  <si>
    <t>2016-02-19</t>
  </si>
  <si>
    <t>2015-11-08</t>
  </si>
  <si>
    <t>2015-10-26</t>
  </si>
  <si>
    <t>2015-10-13</t>
  </si>
  <si>
    <t>2015-04-28</t>
  </si>
  <si>
    <t>2014-10-12</t>
  </si>
  <si>
    <t>2010-01-11</t>
  </si>
  <si>
    <t>company website</t>
  </si>
  <si>
    <t>forbidden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</si>
</sst>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808080"/>
      <name val="Calibri"/>
      <family val="2"/>
      <charset val="1"/>
    </font>
    <font>
      <sz val="11"/>
      <color theme="2" tint="-0.249977111117893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14" fontId="0" fillId="0" borderId="0" xfId="0" applyNumberFormat="1"/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9"/>
  <sheetViews>
    <sheetView zoomScaleNormal="100" workbookViewId="0">
      <selection activeCell="C14" sqref="C14"/>
    </sheetView>
  </sheetViews>
  <sheetFormatPr baseColWidth="10" defaultColWidth="8.83203125" defaultRowHeight="15" x14ac:dyDescent="0.2"/>
  <cols>
    <col min="1" max="1" width="50" customWidth="1"/>
    <col min="3" max="3" width="80" customWidth="1"/>
    <col min="4" max="4" width="11" customWidth="1"/>
    <col min="5" max="5" width="80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tr">
        <f>HYPERLINK("http://www.washroomcubicles.co.uk/downloads", "http://www.washroomcubicles.co.uk/downloads")</f>
        <v>http://www.washroomcubicles.co.uk/downloads</v>
      </c>
      <c r="B2" t="s">
        <v>5</v>
      </c>
      <c r="C2" t="str">
        <f>HYPERLINK("https://www.reddit.com/r/opendirectories/comments/pqmgzb", "Toilet cubicles")</f>
        <v>Toilet cubicles</v>
      </c>
      <c r="D2" t="s">
        <v>6</v>
      </c>
    </row>
    <row r="3" spans="1:5" x14ac:dyDescent="0.2">
      <c r="A3" t="str">
        <f>HYPERLINK("https://resources.officite.com/library", "https://resources.officite.com/library")</f>
        <v>https://resources.officite.com/library</v>
      </c>
      <c r="B3" t="s">
        <v>5</v>
      </c>
      <c r="C3" t="str">
        <f>HYPERLINK("https://www.reddit.com/r/opendirectories/comments/pqmctq", "Oral health.")</f>
        <v>Oral health.</v>
      </c>
      <c r="D3" t="s">
        <v>6</v>
      </c>
    </row>
    <row r="4" spans="1:5" x14ac:dyDescent="0.2">
      <c r="A4" t="str">
        <f>HYPERLINK("http://ftp.tngtoys.ru", "http://ftp.tngtoys.ru")</f>
        <v>http://ftp.tngtoys.ru</v>
      </c>
      <c r="B4" t="s">
        <v>5</v>
      </c>
      <c r="C4" t="str">
        <f>HYPERLINK("https://www.reddit.com/r/opendirectories/comments/pp9tv4", "Russian toy certificates")</f>
        <v>Russian toy certificates</v>
      </c>
      <c r="D4" t="s">
        <v>7</v>
      </c>
      <c r="E4" t="s">
        <v>8</v>
      </c>
    </row>
    <row r="5" spans="1:5" x14ac:dyDescent="0.2">
      <c r="A5" t="str">
        <f>HYPERLINK("http://neuroangio.org/wp-content/uploads", "http://neuroangio.org/wp-content/uploads")</f>
        <v>http://neuroangio.org/wp-content/uploads</v>
      </c>
      <c r="B5" t="s">
        <v>5</v>
      </c>
      <c r="C5" t="str">
        <f>HYPERLINK("https://www.reddit.com/r/opendirectories/comments/pn80rx", "medical imaging files")</f>
        <v>medical imaging files</v>
      </c>
      <c r="D5" t="s">
        <v>9</v>
      </c>
    </row>
    <row r="6" spans="1:5" x14ac:dyDescent="0.2">
      <c r="A6" t="str">
        <f>HYPERLINK("https://paulogentil.com/pdf", "https://paulogentil.com/pdf")</f>
        <v>https://paulogentil.com/pdf</v>
      </c>
      <c r="B6" t="s">
        <v>5</v>
      </c>
      <c r="C6" t="str">
        <f>HYPERLINK("https://www.reddit.com/r/opendirectories/comments/pn6n87", "fitness stuff")</f>
        <v>fitness stuff</v>
      </c>
      <c r="D6" t="s">
        <v>9</v>
      </c>
    </row>
    <row r="7" spans="1:5" x14ac:dyDescent="0.2">
      <c r="A7" t="str">
        <f>HYPERLINK("http://www.bruzelius.info/Nautica", "http://www.bruzelius.info/Nautica")</f>
        <v>http://www.bruzelius.info/Nautica</v>
      </c>
      <c r="B7" t="s">
        <v>5</v>
      </c>
      <c r="C7" t="str">
        <f>HYPERLINK("https://www.reddit.com/r/opendirectories/comments/pkpcx1", "index of pre-1900's ships")</f>
        <v>index of pre-1900's ships</v>
      </c>
      <c r="D7" t="s">
        <v>10</v>
      </c>
    </row>
    <row r="8" spans="1:5" x14ac:dyDescent="0.2">
      <c r="A8" t="str">
        <f>HYPERLINK("https://camelot.allakhazam.com/Mobs/pics", "https://camelot.allakhazam.com/Mobs/pics")</f>
        <v>https://camelot.allakhazam.com/Mobs/pics</v>
      </c>
      <c r="B8" t="s">
        <v>5</v>
      </c>
      <c r="C8" t="str">
        <f>HYPERLINK("https://www.reddit.com/r/opendirectories/comments/pkafcl", "Dark Age of Camelot screenshots")</f>
        <v>Dark Age of Camelot screenshots</v>
      </c>
      <c r="D8" t="s">
        <v>11</v>
      </c>
    </row>
    <row r="9" spans="1:5" x14ac:dyDescent="0.2">
      <c r="A9" t="str">
        <f>HYPERLINK("https://repos.fedorapeople.org", "https://repos.fedorapeople.org")</f>
        <v>https://repos.fedorapeople.org</v>
      </c>
      <c r="B9" t="s">
        <v>5</v>
      </c>
      <c r="C9" t="str">
        <f>HYPERLINK("https://www.reddit.com/r/opendirectories/comments/pk11l8", "Lots of stuff")</f>
        <v>Lots of stuff</v>
      </c>
      <c r="D9" t="s">
        <v>11</v>
      </c>
    </row>
    <row r="10" spans="1:5" x14ac:dyDescent="0.2">
      <c r="A10" t="str">
        <f>HYPERLINK("http://www.mrt.tas.gov.au/mrtdoc", "http://www.mrt.tas.gov.au/mrtdoc")</f>
        <v>http://www.mrt.tas.gov.au/mrtdoc</v>
      </c>
      <c r="B10" t="s">
        <v>5</v>
      </c>
      <c r="C10" t="str">
        <f>HYPERLINK("https://www.reddit.com/r/opendirectories/comments/p9b8jm", "Historic mining reports, fossil beds and other geological surveys for Tasmania")</f>
        <v>Historic mining reports, fossil beds and other geological surveys for Tasmania</v>
      </c>
      <c r="D10" t="s">
        <v>12</v>
      </c>
    </row>
    <row r="11" spans="1:5" x14ac:dyDescent="0.2">
      <c r="A11" t="str">
        <f>HYPERLINK("https://archive.ics.uci.edu/ml/machine-learning-databases", "https://archive.ics.uci.edu/ml/machine-learning-databases")</f>
        <v>https://archive.ics.uci.edu/ml/machine-learning-databases</v>
      </c>
      <c r="B11" t="s">
        <v>5</v>
      </c>
      <c r="C11" t="str">
        <f>HYPERLINK("https://www.reddit.com/r/opendirectories/comments/p7dp02", "Found a machine learning database? Not sure")</f>
        <v>Found a machine learning database? Not sure</v>
      </c>
      <c r="D11" t="s">
        <v>13</v>
      </c>
    </row>
    <row r="12" spans="1:5" x14ac:dyDescent="0.2">
      <c r="A12" t="str">
        <f>HYPERLINK("http://www.cs.rpi.edu/~moorthy/Courses/CompLang/Perl", "http://www.cs.rpi.edu/~moorthy/Courses/CompLang/Perl")</f>
        <v>http://www.cs.rpi.edu/~moorthy/Courses/CompLang/Perl</v>
      </c>
      <c r="B12" t="s">
        <v>5</v>
      </c>
      <c r="C12" t="str">
        <f>HYPERLINK("https://www.reddit.com/r/opendirectories/comments/p7bcxm", "Perl lecture notes")</f>
        <v>Perl lecture notes</v>
      </c>
      <c r="D12" t="s">
        <v>13</v>
      </c>
    </row>
    <row r="13" spans="1:5" x14ac:dyDescent="0.2">
      <c r="A13" t="str">
        <f>HYPERLINK("http://211.110.1.18", "http://211.110.1.18")</f>
        <v>http://211.110.1.18</v>
      </c>
      <c r="B13" t="s">
        <v>5</v>
      </c>
      <c r="C13" t="str">
        <f>HYPERLINK("https://www.reddit.com/r/opendirectories/comments/p7b0my", "english words")</f>
        <v>english words</v>
      </c>
      <c r="D13" t="s">
        <v>13</v>
      </c>
      <c r="E13" t="s">
        <v>14</v>
      </c>
    </row>
    <row r="14" spans="1:5" x14ac:dyDescent="0.2">
      <c r="A14" t="str">
        <f>HYPERLINK("https://dn.odroid.com", "https://dn.odroid.com")</f>
        <v>https://dn.odroid.com</v>
      </c>
      <c r="B14" t="s">
        <v>5</v>
      </c>
      <c r="C14" t="str">
        <f>HYPERLINK("https://www.reddit.com/r/opendirectories/comments/p6o4wb", "Odroid: firmwares, datasheets, schematics")</f>
        <v>Odroid: firmwares, datasheets, schematics</v>
      </c>
      <c r="D14" t="s">
        <v>15</v>
      </c>
    </row>
    <row r="15" spans="1:5" x14ac:dyDescent="0.2">
      <c r="A15" t="str">
        <f>HYPERLINK("http://jasoncantarella.com/downloads", "http://jasoncantarella.com/downloads")</f>
        <v>http://jasoncantarella.com/downloads</v>
      </c>
      <c r="B15" t="s">
        <v>5</v>
      </c>
      <c r="C15" t="str">
        <f>HYPERLINK("https://www.reddit.com/r/opendirectories/comments/p26fbs", "maths and stats notes")</f>
        <v>maths and stats notes</v>
      </c>
      <c r="D15" t="s">
        <v>16</v>
      </c>
    </row>
    <row r="16" spans="1:5" x14ac:dyDescent="0.2">
      <c r="A16" t="str">
        <f>HYPERLINK("https://aviation-is.better-than.tv", "https://aviation-is.better-than.tv")</f>
        <v>https://aviation-is.better-than.tv</v>
      </c>
      <c r="B16" t="s">
        <v>5</v>
      </c>
      <c r="C16" t="str">
        <f>HYPERLINK("https://www.reddit.com/r/opendirectories/comments/oxs18a", "directory of a Russian aviation enthusiast")</f>
        <v>directory of a Russian aviation enthusiast</v>
      </c>
      <c r="D16" t="s">
        <v>17</v>
      </c>
      <c r="E16" t="s">
        <v>8</v>
      </c>
    </row>
    <row r="17" spans="1:4" x14ac:dyDescent="0.2">
      <c r="A17" t="str">
        <f>HYPERLINK("https://www3.nd.edu/~rarebook/coins/ColCoin/ColCoinImages", "https://www3.nd.edu/~rarebook/coins/ColCoin/ColCoinImages")</f>
        <v>https://www3.nd.edu/~rarebook/coins/ColCoin/ColCoinImages</v>
      </c>
      <c r="B17" t="s">
        <v>5</v>
      </c>
      <c r="C17" t="str">
        <f>HYPERLINK("https://www.reddit.com/r/opendirectories/comments/oxqb24", "early American numismatics")</f>
        <v>early American numismatics</v>
      </c>
      <c r="D17" t="s">
        <v>17</v>
      </c>
    </row>
    <row r="18" spans="1:4" x14ac:dyDescent="0.2">
      <c r="A18" t="str">
        <f>HYPERLINK("https://www.citrusgenomedb.org/citrus_downloads", "https://www.citrusgenomedb.org/citrus_downloads")</f>
        <v>https://www.citrusgenomedb.org/citrus_downloads</v>
      </c>
      <c r="B18" t="s">
        <v>5</v>
      </c>
      <c r="C18" t="str">
        <f>HYPERLINK("https://www.reddit.com/r/opendirectories/comments/oxq4jj", "citrus genomes")</f>
        <v>citrus genomes</v>
      </c>
      <c r="D18" t="s">
        <v>17</v>
      </c>
    </row>
    <row r="19" spans="1:4" x14ac:dyDescent="0.2">
      <c r="A19" t="str">
        <f>HYPERLINK("http://asd.ft.lv", "http://asd.ft.lv")</f>
        <v>http://asd.ft.lv</v>
      </c>
      <c r="B19" t="s">
        <v>5</v>
      </c>
      <c r="C19" t="str">
        <f>HYPERLINK("https://www.reddit.com/r/opendirectories/comments/owjab9", "Soul (2016) Webrip &amp;amp; Android Apps")</f>
        <v>Soul (2016) Webrip &amp;amp; Android Apps</v>
      </c>
      <c r="D19" t="s">
        <v>18</v>
      </c>
    </row>
    <row r="20" spans="1:4" x14ac:dyDescent="0.2">
      <c r="A20" t="str">
        <f>HYPERLINK("https://www.chessgames.com/fen/Q321", "https://www.chessgames.com/fen/Q321")</f>
        <v>https://www.chessgames.com/fen/Q321</v>
      </c>
      <c r="B20" t="s">
        <v>5</v>
      </c>
      <c r="C20" t="str">
        <f>HYPERLINK("https://www.reddit.com/r/opendirectories/comments/owd26s", "chess puzzles")</f>
        <v>chess puzzles</v>
      </c>
      <c r="D20" t="s">
        <v>18</v>
      </c>
    </row>
    <row r="21" spans="1:4" x14ac:dyDescent="0.2">
      <c r="A21" t="str">
        <f>HYPERLINK("http://artisticworship.com/media/dmg", "http://artisticworship.com/media/dmg")</f>
        <v>http://artisticworship.com/media/dmg</v>
      </c>
      <c r="B21" t="s">
        <v>5</v>
      </c>
      <c r="C21" t="str">
        <f>HYPERLINK("https://www.reddit.com/r/opendirectories/comments/ouq2is", "MAC Apps &amp;amp; Cracks")</f>
        <v>MAC Apps &amp;amp; Cracks</v>
      </c>
      <c r="D21" t="s">
        <v>19</v>
      </c>
    </row>
    <row r="22" spans="1:4" x14ac:dyDescent="0.2">
      <c r="A22" t="str">
        <f>HYPERLINK("http://meonx.nl/apk", "http://meonx.nl/apk")</f>
        <v>http://meonx.nl/apk</v>
      </c>
      <c r="B22" t="s">
        <v>5</v>
      </c>
      <c r="C22" t="str">
        <f>HYPERLINK("https://www.reddit.com/r/opendirectories/comments/ouna9a", "Android Apps (Modded/Hacked)")</f>
        <v>Android Apps (Modded/Hacked)</v>
      </c>
      <c r="D22" t="s">
        <v>19</v>
      </c>
    </row>
    <row r="23" spans="1:4" x14ac:dyDescent="0.2">
      <c r="A23" t="str">
        <f>HYPERLINK("https://www.kool-tings.com/wizard.kool-tings.com", "https://www.kool-tings.com/wizard.kool-tings.com")</f>
        <v>https://www.kool-tings.com/wizard.kool-tings.com</v>
      </c>
      <c r="B23" t="s">
        <v>5</v>
      </c>
      <c r="C23" t="str">
        <f>HYPERLINK("https://www.reddit.com/r/opendirectories/comments/oun5ux", "Android apps")</f>
        <v>Android apps</v>
      </c>
      <c r="D23" t="s">
        <v>19</v>
      </c>
    </row>
    <row r="24" spans="1:4" x14ac:dyDescent="0.2">
      <c r="A24" t="str">
        <f>HYPERLINK("http://163.23.101.174", "http://163.23.101.174")</f>
        <v>http://163.23.101.174</v>
      </c>
      <c r="B24" t="s">
        <v>5</v>
      </c>
      <c r="C24" t="str">
        <f>HYPERLINK("https://www.reddit.com/r/opendirectories/comments/ou651j", "Apps, Drivers, Fonts, ISOs")</f>
        <v>Apps, Drivers, Fonts, ISOs</v>
      </c>
      <c r="D24" t="s">
        <v>20</v>
      </c>
    </row>
    <row r="25" spans="1:4" x14ac:dyDescent="0.2">
      <c r="A25" t="str">
        <f>HYPERLINK("http://www.geeks4christ.org/MS-OS", "http://www.geeks4christ.org/MS-OS")</f>
        <v>http://www.geeks4christ.org/MS-OS</v>
      </c>
      <c r="B25" t="s">
        <v>5</v>
      </c>
      <c r="C25" t="str">
        <f>HYPERLINK("https://www.reddit.com/r/opendirectories/comments/ou5yu3", "Office &amp;amp; Windows ISOs")</f>
        <v>Office &amp;amp; Windows ISOs</v>
      </c>
      <c r="D25" t="s">
        <v>20</v>
      </c>
    </row>
    <row r="26" spans="1:4" x14ac:dyDescent="0.2">
      <c r="A26" t="str">
        <f>HYPERLINK("http://kacabenggala.uny.ac.id", "http://kacabenggala.uny.ac.id")</f>
        <v>http://kacabenggala.uny.ac.id</v>
      </c>
      <c r="B26" t="s">
        <v>5</v>
      </c>
      <c r="C26" t="str">
        <f>HYPERLINK("https://www.reddit.com/r/opendirectories/comments/ou5p3l", "Office365 &amp;amp; Windows 10 ISOs")</f>
        <v>Office365 &amp;amp; Windows 10 ISOs</v>
      </c>
      <c r="D26" t="s">
        <v>20</v>
      </c>
    </row>
    <row r="27" spans="1:4" x14ac:dyDescent="0.2">
      <c r="A27" t="str">
        <f>HYPERLINK("https://root3.minerswin.de/ISO", "https://root3.minerswin.de/ISO")</f>
        <v>https://root3.minerswin.de/ISO</v>
      </c>
      <c r="B27" t="s">
        <v>5</v>
      </c>
      <c r="C27" t="str">
        <f>HYPERLINK("https://www.reddit.com/r/opendirectories/comments/ou598q", "Operating System ISOs")</f>
        <v>Operating System ISOs</v>
      </c>
      <c r="D27" t="s">
        <v>20</v>
      </c>
    </row>
    <row r="28" spans="1:4" x14ac:dyDescent="0.2">
      <c r="A28" t="str">
        <f>HYPERLINK("http://cs.furman.edu/~pbatchelor", "http://cs.furman.edu/~pbatchelor")</f>
        <v>http://cs.furman.edu/~pbatchelor</v>
      </c>
      <c r="B28" t="s">
        <v>5</v>
      </c>
      <c r="C28" t="str">
        <f>HYPERLINK("https://www.reddit.com/r/opendirectories/comments/otdm2g", "Furman University CompSci Courses")</f>
        <v>Furman University CompSci Courses</v>
      </c>
      <c r="D28" t="s">
        <v>21</v>
      </c>
    </row>
    <row r="29" spans="1:4" x14ac:dyDescent="0.2">
      <c r="A29" t="str">
        <f>HYPERLINK("http://wisenet.fau.edu", "http://wisenet.fau.edu")</f>
        <v>http://wisenet.fau.edu</v>
      </c>
      <c r="B29" t="s">
        <v>5</v>
      </c>
      <c r="C29" t="str">
        <f>HYPERLINK("https://www.reddit.com/r/opendirectories/comments/otcxio", "Florida Atlantic University - Object Oriented Programming Course Resources")</f>
        <v>Florida Atlantic University - Object Oriented Programming Course Resources</v>
      </c>
      <c r="D29" t="s">
        <v>21</v>
      </c>
    </row>
    <row r="30" spans="1:4" x14ac:dyDescent="0.2">
      <c r="A30" t="str">
        <f>HYPERLINK("https://flecom.net/yahoo-groups", "https://flecom.net/yahoo-groups")</f>
        <v>https://flecom.net/yahoo-groups</v>
      </c>
      <c r="B30" t="s">
        <v>5</v>
      </c>
      <c r="C30" t="str">
        <f>HYPERLINK("https://www.reddit.com/r/opendirectories/comments/okggd0", "yahoo groups archive of electronics stuff")</f>
        <v>yahoo groups archive of electronics stuff</v>
      </c>
      <c r="D30" t="s">
        <v>22</v>
      </c>
    </row>
    <row r="31" spans="1:4" x14ac:dyDescent="0.2">
      <c r="A31" t="str">
        <f>HYPERLINK("http://162.154.76.208", "http://162.154.76.208")</f>
        <v>http://162.154.76.208</v>
      </c>
      <c r="B31" t="s">
        <v>5</v>
      </c>
      <c r="C31" t="str">
        <f>HYPERLINK("https://www.reddit.com/r/opendirectories/comments/o617mp", "Old mobile phone firmwares and other related stuff")</f>
        <v>Old mobile phone firmwares and other related stuff</v>
      </c>
      <c r="D31" t="s">
        <v>23</v>
      </c>
    </row>
    <row r="32" spans="1:4" x14ac:dyDescent="0.2">
      <c r="A32" t="str">
        <f>HYPERLINK("http://leegis.leegov.com/FTPData", "http://leegis.leegov.com/FTPData")</f>
        <v>http://leegis.leegov.com/FTPData</v>
      </c>
      <c r="B32" t="s">
        <v>5</v>
      </c>
      <c r="C32" t="str">
        <f>HYPERLINK("https://www.reddit.com/r/opendirectories/comments/o429xi", "GIS + Aerial Photography")</f>
        <v>GIS + Aerial Photography</v>
      </c>
      <c r="D32" t="s">
        <v>24</v>
      </c>
    </row>
    <row r="33" spans="1:5" x14ac:dyDescent="0.2">
      <c r="A33" t="str">
        <f>HYPERLINK("http://russiannavy.net/models", "http://russiannavy.net/models")</f>
        <v>http://russiannavy.net/models</v>
      </c>
      <c r="B33" t="s">
        <v>5</v>
      </c>
      <c r="C33" t="str">
        <f>HYPERLINK("https://www.reddit.com/r/opendirectories/comments/o3erkg", "Military vehicle models")</f>
        <v>Military vehicle models</v>
      </c>
      <c r="D33" t="s">
        <v>25</v>
      </c>
    </row>
    <row r="34" spans="1:5" x14ac:dyDescent="0.2">
      <c r="A34" t="str">
        <f>HYPERLINK("https://kijyoui-douga.com/wp-content/uploads", "https://kijyoui-douga.com/wp-content/uploads")</f>
        <v>https://kijyoui-douga.com/wp-content/uploads</v>
      </c>
      <c r="B34" t="s">
        <v>5</v>
      </c>
      <c r="C34" t="str">
        <f>HYPERLINK("https://www.reddit.com/r/opendirectories/comments/o1fo68", "Tons of JAVs")</f>
        <v>Tons of JAVs</v>
      </c>
      <c r="D34" t="s">
        <v>26</v>
      </c>
    </row>
    <row r="35" spans="1:5" x14ac:dyDescent="0.2">
      <c r="A35" t="str">
        <f>HYPERLINK("https://www.vote-auction.net/ARCHIVE", "https://www.vote-auction.net/ARCHIVE")</f>
        <v>https://www.vote-auction.net/ARCHIVE</v>
      </c>
      <c r="B35" t="s">
        <v>5</v>
      </c>
      <c r="C35" t="str">
        <f>HYPERLINK("https://www.reddit.com/r/opendirectories/comments/nr60gj", "index of vote auction, a website that allowed you to sell your vote for US presidential election.")</f>
        <v>index of vote auction, a website that allowed you to sell your vote for US presidential election.</v>
      </c>
      <c r="D35" t="s">
        <v>27</v>
      </c>
    </row>
    <row r="36" spans="1:5" x14ac:dyDescent="0.2">
      <c r="A36" t="str">
        <f>HYPERLINK("http://screens.fmmotorsports.com/gab", "http://screens.fmmotorsports.com/gab")</f>
        <v>http://screens.fmmotorsports.com/gab</v>
      </c>
      <c r="B36" t="s">
        <v>5</v>
      </c>
      <c r="C36" t="str">
        <f>HYPERLINK("https://www.reddit.com/r/opendirectories/comments/nqtu52", "Look")</f>
        <v>Look</v>
      </c>
      <c r="D36" t="s">
        <v>28</v>
      </c>
    </row>
    <row r="37" spans="1:5" x14ac:dyDescent="0.2">
      <c r="A37" t="str">
        <f>HYPERLINK("http://mediaset.sdasofia.org", "http://mediaset.sdasofia.org")</f>
        <v>http://mediaset.sdasofia.org</v>
      </c>
      <c r="B37" t="s">
        <v>5</v>
      </c>
      <c r="C37" t="str">
        <f>HYPERLINK("https://www.reddit.com/r/opendirectories/comments/nh74ot", "Directory full of a bunch of different stuff. Mostly in Bulgarian/Russian.")</f>
        <v>Directory full of a bunch of different stuff. Mostly in Bulgarian/Russian.</v>
      </c>
      <c r="D37" t="s">
        <v>29</v>
      </c>
      <c r="E37" t="s">
        <v>8</v>
      </c>
    </row>
    <row r="38" spans="1:5" x14ac:dyDescent="0.2">
      <c r="A38" t="str">
        <f>HYPERLINK("https://buildbot.hehoe.de", "https://buildbot.hehoe.de")</f>
        <v>https://buildbot.hehoe.de</v>
      </c>
      <c r="B38" t="s">
        <v>5</v>
      </c>
      <c r="C38" t="str">
        <f>HYPERLINK("https://www.reddit.com/r/opendirectories/comments/ngwvke", "C:\")</f>
        <v>C:\</v>
      </c>
      <c r="D38" t="s">
        <v>29</v>
      </c>
    </row>
    <row r="39" spans="1:5" x14ac:dyDescent="0.2">
      <c r="A39" t="str">
        <f>HYPERLINK("https://crosswayswoolandfabrics.com.au/free-patterns", "https://crosswayswoolandfabrics.com.au/free-patterns")</f>
        <v>https://crosswayswoolandfabrics.com.au/free-patterns</v>
      </c>
      <c r="B39" t="s">
        <v>5</v>
      </c>
      <c r="C39" t="str">
        <f>HYPERLINK("https://www.reddit.com/r/opendirectories/comments/nahgbp", "crochet patterns")</f>
        <v>crochet patterns</v>
      </c>
      <c r="D39" t="s">
        <v>30</v>
      </c>
    </row>
    <row r="40" spans="1:5" x14ac:dyDescent="0.2">
      <c r="A40" t="str">
        <f>HYPERLINK("http://www.whitelabs.org/Lab%20Protocols", "http://www.whitelabs.org/Lab%20Protocols")</f>
        <v>http://www.whitelabs.org/Lab%20Protocols</v>
      </c>
      <c r="B40" t="s">
        <v>5</v>
      </c>
      <c r="C40" t="str">
        <f>HYPERLINK("https://www.reddit.com/r/opendirectories/comments/n6qpz5", "Molecular bio &amp;amp; cell culture protocols")</f>
        <v>Molecular bio &amp;amp; cell culture protocols</v>
      </c>
      <c r="D40" t="s">
        <v>31</v>
      </c>
    </row>
    <row r="41" spans="1:5" x14ac:dyDescent="0.2">
      <c r="A41" t="str">
        <f>HYPERLINK("https://hwwgenotyping.ksu.edu/protocols", "https://hwwgenotyping.ksu.edu/protocols")</f>
        <v>https://hwwgenotyping.ksu.edu/protocols</v>
      </c>
      <c r="B41" t="s">
        <v>5</v>
      </c>
      <c r="C41" t="str">
        <f>HYPERLINK("https://www.reddit.com/r/opendirectories/comments/n68gr5", "Genotyping protocols")</f>
        <v>Genotyping protocols</v>
      </c>
      <c r="D41" t="s">
        <v>32</v>
      </c>
    </row>
    <row r="42" spans="1:5" x14ac:dyDescent="0.2">
      <c r="A42" t="str">
        <f>HYPERLINK("http://media.marketwatch.com/video", "http://media.marketwatch.com/video")</f>
        <v>http://media.marketwatch.com/video</v>
      </c>
      <c r="B42" t="s">
        <v>5</v>
      </c>
      <c r="C42" t="str">
        <f>HYPERLINK("https://www.reddit.com/r/opendirectories/comments/mzdw4j", "Still going strong: News screengrabs 2011 - Today")</f>
        <v>Still going strong: News screengrabs 2011 - Today</v>
      </c>
      <c r="D42" t="s">
        <v>33</v>
      </c>
    </row>
    <row r="43" spans="1:5" x14ac:dyDescent="0.2">
      <c r="A43" t="str">
        <f>HYPERLINK("http://s28.bitdl.ir", "http://s28.bitdl.ir")</f>
        <v>http://s28.bitdl.ir</v>
      </c>
      <c r="B43" t="s">
        <v>5</v>
      </c>
      <c r="C43" t="str">
        <f>HYPERLINK("https://www.reddit.com/r/opendirectories/comments/mvz3jd", "Lots of courses")</f>
        <v>Lots of courses</v>
      </c>
      <c r="D43" t="s">
        <v>34</v>
      </c>
    </row>
    <row r="44" spans="1:5" x14ac:dyDescent="0.2">
      <c r="A44" t="str">
        <f>HYPERLINK("https://www3.nd.edu/~math/restricted/CourseArchive", "https://www3.nd.edu/~math/restricted/CourseArchive")</f>
        <v>https://www3.nd.edu/~math/restricted/CourseArchive</v>
      </c>
      <c r="B44" t="s">
        <v>5</v>
      </c>
      <c r="C44" t="str">
        <f>HYPERLINK("https://www.reddit.com/r/opendirectories/comments/mmpb3m", "university level maths courses + exams")</f>
        <v>university level maths courses + exams</v>
      </c>
      <c r="D44" t="s">
        <v>35</v>
      </c>
    </row>
    <row r="45" spans="1:5" x14ac:dyDescent="0.2">
      <c r="A45" t="str">
        <f>HYPERLINK("http://archive.scene.org", "http://archive.scene.org")</f>
        <v>http://archive.scene.org</v>
      </c>
      <c r="B45" t="s">
        <v>5</v>
      </c>
      <c r="C45" t="str">
        <f>HYPERLINK("https://www.reddit.com/r/opendirectories/comments/mlnwm5", "archive.scene.org - Complete Demoscene collection.")</f>
        <v>archive.scene.org - Complete Demoscene collection.</v>
      </c>
      <c r="D45" t="s">
        <v>36</v>
      </c>
    </row>
    <row r="46" spans="1:5" x14ac:dyDescent="0.2">
      <c r="A46" t="str">
        <f>HYPERLINK("http://fileserver.idpc.net/library", "http://fileserver.idpc.net/library")</f>
        <v>http://fileserver.idpc.net/library</v>
      </c>
      <c r="B46" t="s">
        <v>5</v>
      </c>
      <c r="C46" t="str">
        <f>HYPERLINK("https://www.reddit.com/r/opendirectories/comments/9i5q02", "The Content of the fileserver for the International drug policy commission")</f>
        <v>The Content of the fileserver for the International drug policy commission</v>
      </c>
      <c r="D46" t="s">
        <v>37</v>
      </c>
    </row>
    <row r="47" spans="1:5" x14ac:dyDescent="0.2">
      <c r="A47" t="str">
        <f>HYPERLINK("https://chaos.seisat.su", "https://chaos.seisat.su")</f>
        <v>https://chaos.seisat.su</v>
      </c>
      <c r="B47" t="s">
        <v>5</v>
      </c>
      <c r="C47" t="str">
        <f>HYPERLINK("https://www.reddit.com/r/opendirectories/comments/mjf9g7", "Some Magic...Some Not...")</f>
        <v>Some Magic...Some Not...</v>
      </c>
      <c r="D47" t="s">
        <v>38</v>
      </c>
    </row>
    <row r="48" spans="1:5" x14ac:dyDescent="0.2">
      <c r="A48" t="str">
        <f>HYPERLINK("https://kiwifarms.net/archive", "https://kiwifarms.net/archive")</f>
        <v>https://kiwifarms.net/archive</v>
      </c>
      <c r="B48" t="s">
        <v>5</v>
      </c>
      <c r="C48" t="str">
        <f>HYPERLINK("https://www.reddit.com/r/opendirectories/comments/mj5dg1", "Massive YouTube channel archive")</f>
        <v>Massive YouTube channel archive</v>
      </c>
      <c r="D48" t="s">
        <v>38</v>
      </c>
    </row>
    <row r="49" spans="1:4" x14ac:dyDescent="0.2">
      <c r="A49" t="str">
        <f>HYPERLINK("https://cdn.creepypastas.com", "https://cdn.creepypastas.com")</f>
        <v>https://cdn.creepypastas.com</v>
      </c>
      <c r="B49" t="s">
        <v>5</v>
      </c>
      <c r="C49" t="str">
        <f>HYPERLINK("https://www.reddit.com/r/opendirectories/comments/mip788", "Idk what this all is")</f>
        <v>Idk what this all is</v>
      </c>
      <c r="D49" t="s">
        <v>39</v>
      </c>
    </row>
    <row r="50" spans="1:4" x14ac:dyDescent="0.2">
      <c r="A50" t="str">
        <f>HYPERLINK("https://sci-toys.com/scitoys/scitoys", "https://sci-toys.com/scitoys/scitoys")</f>
        <v>https://sci-toys.com/scitoys/scitoys</v>
      </c>
      <c r="B50" t="s">
        <v>5</v>
      </c>
      <c r="C50" t="str">
        <f>HYPERLINK("https://www.reddit.com/r/opendirectories/comments/mi3z2s", "Teaching directory")</f>
        <v>Teaching directory</v>
      </c>
      <c r="D50" t="s">
        <v>40</v>
      </c>
    </row>
    <row r="51" spans="1:4" x14ac:dyDescent="0.2">
      <c r="A51" t="str">
        <f>HYPERLINK("http://purco.qc.ca/ftp", "http://purco.qc.ca/ftp")</f>
        <v>http://purco.qc.ca/ftp</v>
      </c>
      <c r="B51" t="s">
        <v>5</v>
      </c>
      <c r="C51" t="str">
        <f>HYPERLINK("https://www.reddit.com/r/opendirectories/comments/mhnx7q", "Alternative Physics, free energy and associated wackiness.")</f>
        <v>Alternative Physics, free energy and associated wackiness.</v>
      </c>
      <c r="D51" t="s">
        <v>40</v>
      </c>
    </row>
    <row r="52" spans="1:4" x14ac:dyDescent="0.2">
      <c r="A52" t="str">
        <f>HYPERLINK("https://spiked.co.uk/i", "https://spiked.co.uk/i")</f>
        <v>https://spiked.co.uk/i</v>
      </c>
      <c r="B52" t="s">
        <v>5</v>
      </c>
      <c r="C52" t="str">
        <f>HYPERLINK("https://www.reddit.com/r/opendirectories/comments/mheh4r", "Gif's")</f>
        <v>Gif's</v>
      </c>
      <c r="D52" t="s">
        <v>41</v>
      </c>
    </row>
    <row r="53" spans="1:4" x14ac:dyDescent="0.2">
      <c r="A53" t="str">
        <f>HYPERLINK("http://www.uvm.edu/storylab/share", "http://www.uvm.edu/storylab/share")</f>
        <v>http://www.uvm.edu/storylab/share</v>
      </c>
      <c r="B53" t="s">
        <v>5</v>
      </c>
      <c r="C53" t="str">
        <f>HYPERLINK("https://www.reddit.com/r/opendirectories/comments/mezgkh", "Looked Interesting; So Sharing ;p There is some research data in here i think")</f>
        <v>Looked Interesting; So Sharing ;p There is some research data in here i think</v>
      </c>
      <c r="D53" t="s">
        <v>42</v>
      </c>
    </row>
    <row r="54" spans="1:4" x14ac:dyDescent="0.2">
      <c r="A54" t="str">
        <f>HYPERLINK("https://mtmaritime.com/ship-info-files", "https://mtmaritime.com/ship-info-files")</f>
        <v>https://mtmaritime.com/ship-info-files</v>
      </c>
      <c r="B54" t="s">
        <v>5</v>
      </c>
      <c r="C54" t="str">
        <f>HYPERLINK("https://www.reddit.com/r/opendirectories/comments/m67y7i", "cargo ship details")</f>
        <v>cargo ship details</v>
      </c>
      <c r="D54" t="s">
        <v>43</v>
      </c>
    </row>
    <row r="55" spans="1:4" x14ac:dyDescent="0.2">
      <c r="A55" t="str">
        <f>HYPERLINK("http://www.asiasealink.com/image", "http://www.asiasealink.com/image")</f>
        <v>http://www.asiasealink.com/image</v>
      </c>
      <c r="B55" t="s">
        <v>5</v>
      </c>
      <c r="C55" t="str">
        <f>HYPERLINK("https://www.reddit.com/r/opendirectories/comments/m67wzn", "naval architecture and boat diagrams")</f>
        <v>naval architecture and boat diagrams</v>
      </c>
      <c r="D55" t="s">
        <v>43</v>
      </c>
    </row>
    <row r="56" spans="1:4" x14ac:dyDescent="0.2">
      <c r="A56" t="str">
        <f>HYPERLINK("http://107.191.101.145", "http://107.191.101.145")</f>
        <v>http://107.191.101.145</v>
      </c>
      <c r="B56" t="s">
        <v>5</v>
      </c>
      <c r="C56" t="str">
        <f>HYPERLINK("https://www.reddit.com/r/opendirectories/comments/m5ljp9", "Old Joe's collection of sex stories")</f>
        <v>Old Joe's collection of sex stories</v>
      </c>
      <c r="D56" t="s">
        <v>44</v>
      </c>
    </row>
    <row r="57" spans="1:4" x14ac:dyDescent="0.2">
      <c r="A57" t="str">
        <f>HYPERLINK("http://tecfa.unige.ch/guides", "http://tecfa.unige.ch/guides")</f>
        <v>http://tecfa.unige.ch/guides</v>
      </c>
      <c r="B57" t="s">
        <v>5</v>
      </c>
      <c r="C57" t="str">
        <f>HYPERLINK("https://www.reddit.com/r/opendirectories/comments/m5gfa0", "CS reference guides, HOWTOs and cheatsheets")</f>
        <v>CS reference guides, HOWTOs and cheatsheets</v>
      </c>
      <c r="D57" t="s">
        <v>44</v>
      </c>
    </row>
    <row r="58" spans="1:4" x14ac:dyDescent="0.2">
      <c r="A58" t="str">
        <f>HYPERLINK("http://ftp.cs.toronto.edu", "http://ftp.cs.toronto.edu")</f>
        <v>http://ftp.cs.toronto.edu</v>
      </c>
      <c r="B58" t="s">
        <v>5</v>
      </c>
      <c r="C58" t="str">
        <f>HYPERLINK("https://www.reddit.com/r/opendirectories/comments/m5gc7k", "time capsule of the old internet")</f>
        <v>time capsule of the old internet</v>
      </c>
      <c r="D58" t="s">
        <v>44</v>
      </c>
    </row>
    <row r="59" spans="1:4" x14ac:dyDescent="0.2">
      <c r="A59" t="str">
        <f>HYPERLINK("http://ns2.hornictvi.cz", "http://ns2.hornictvi.cz")</f>
        <v>http://ns2.hornictvi.cz</v>
      </c>
      <c r="B59" t="s">
        <v>5</v>
      </c>
      <c r="C59" t="str">
        <f>HYPERLINK("https://www.reddit.com/r/opendirectories/comments/m5g4j7", "sunsite archive")</f>
        <v>sunsite archive</v>
      </c>
      <c r="D59" t="s">
        <v>44</v>
      </c>
    </row>
    <row r="60" spans="1:4" x14ac:dyDescent="0.2">
      <c r="A60" t="str">
        <f>HYPERLINK("http://www.saintmarkslutheran.org/wp-content/uploads", "http://www.saintmarkslutheran.org/wp-content/uploads")</f>
        <v>http://www.saintmarkslutheran.org/wp-content/uploads</v>
      </c>
      <c r="B60" t="s">
        <v>5</v>
      </c>
      <c r="C60" t="str">
        <f>HYPERLINK("https://www.reddit.com/r/opendirectories/comments/m5dc43", "Some Church and goes by St. Mark")</f>
        <v>Some Church and goes by St. Mark</v>
      </c>
      <c r="D60" t="s">
        <v>44</v>
      </c>
    </row>
    <row r="61" spans="1:4" x14ac:dyDescent="0.2">
      <c r="A61" t="str">
        <f>HYPERLINK("http://www.toolsmith.ws/catalogs", "http://www.toolsmith.ws/catalogs")</f>
        <v>http://www.toolsmith.ws/catalogs</v>
      </c>
      <c r="B61" t="s">
        <v>5</v>
      </c>
      <c r="C61" t="str">
        <f>HYPERLINK("https://www.reddit.com/r/opendirectories/comments/m4tyjv", "catalogues of tools")</f>
        <v>catalogues of tools</v>
      </c>
      <c r="D61" t="s">
        <v>45</v>
      </c>
    </row>
    <row r="62" spans="1:4" x14ac:dyDescent="0.2">
      <c r="A62" t="str">
        <f>HYPERLINK("https://www.watchfaces.be/files", "https://www.watchfaces.be/files")</f>
        <v>https://www.watchfaces.be/files</v>
      </c>
      <c r="B62" t="s">
        <v>5</v>
      </c>
      <c r="C62" t="str">
        <f>HYPERLINK("https://www.reddit.com/r/opendirectories/comments/lw7m1i", "Watchfaces for smartwatch")</f>
        <v>Watchfaces for smartwatch</v>
      </c>
      <c r="D62" t="s">
        <v>46</v>
      </c>
    </row>
    <row r="63" spans="1:4" x14ac:dyDescent="0.2">
      <c r="A63" t="str">
        <f>HYPERLINK("http://hollister.ca.gov/wp-content/uploads/2015", "http://hollister.ca.gov/wp-content/uploads/2015")</f>
        <v>http://hollister.ca.gov/wp-content/uploads/2015</v>
      </c>
      <c r="B63" t="s">
        <v>5</v>
      </c>
      <c r="C63" t="str">
        <f t="shared" ref="C63:C69" si="0">HYPERLINK("https://www.reddit.com/r/opendirectories/comments/lo0nc3", "City of Hollister California Open Directory 2015-2021")</f>
        <v>City of Hollister California Open Directory 2015-2021</v>
      </c>
      <c r="D63" t="s">
        <v>47</v>
      </c>
    </row>
    <row r="64" spans="1:4" x14ac:dyDescent="0.2">
      <c r="A64" t="str">
        <f>HYPERLINK("http://hollister.ca.gov/wp-content/uploads/2016", "http://hollister.ca.gov/wp-content/uploads/2016")</f>
        <v>http://hollister.ca.gov/wp-content/uploads/2016</v>
      </c>
      <c r="B64" t="s">
        <v>5</v>
      </c>
      <c r="C64" t="str">
        <f t="shared" si="0"/>
        <v>City of Hollister California Open Directory 2015-2021</v>
      </c>
      <c r="D64" t="s">
        <v>47</v>
      </c>
    </row>
    <row r="65" spans="1:5" x14ac:dyDescent="0.2">
      <c r="A65" t="str">
        <f>HYPERLINK("http://hollister.ca.gov/wp-content/uploads/2017", "http://hollister.ca.gov/wp-content/uploads/2017")</f>
        <v>http://hollister.ca.gov/wp-content/uploads/2017</v>
      </c>
      <c r="B65" t="s">
        <v>5</v>
      </c>
      <c r="C65" t="str">
        <f t="shared" si="0"/>
        <v>City of Hollister California Open Directory 2015-2021</v>
      </c>
      <c r="D65" t="s">
        <v>47</v>
      </c>
    </row>
    <row r="66" spans="1:5" x14ac:dyDescent="0.2">
      <c r="A66" t="str">
        <f>HYPERLINK("http://hollister.ca.gov/wp-content/uploads/2018", "http://hollister.ca.gov/wp-content/uploads/2018")</f>
        <v>http://hollister.ca.gov/wp-content/uploads/2018</v>
      </c>
      <c r="B66" t="s">
        <v>5</v>
      </c>
      <c r="C66" t="str">
        <f t="shared" si="0"/>
        <v>City of Hollister California Open Directory 2015-2021</v>
      </c>
      <c r="D66" t="s">
        <v>47</v>
      </c>
    </row>
    <row r="67" spans="1:5" x14ac:dyDescent="0.2">
      <c r="A67" t="str">
        <f>HYPERLINK("http://hollister.ca.gov/wp-content/uploads/2019", "http://hollister.ca.gov/wp-content/uploads/2019")</f>
        <v>http://hollister.ca.gov/wp-content/uploads/2019</v>
      </c>
      <c r="B67" t="s">
        <v>5</v>
      </c>
      <c r="C67" t="str">
        <f t="shared" si="0"/>
        <v>City of Hollister California Open Directory 2015-2021</v>
      </c>
      <c r="D67" t="s">
        <v>47</v>
      </c>
    </row>
    <row r="68" spans="1:5" x14ac:dyDescent="0.2">
      <c r="A68" t="str">
        <f>HYPERLINK("http://hollister.ca.gov/wp-content/uploads/2020", "http://hollister.ca.gov/wp-content/uploads/2020")</f>
        <v>http://hollister.ca.gov/wp-content/uploads/2020</v>
      </c>
      <c r="B68" t="s">
        <v>5</v>
      </c>
      <c r="C68" t="str">
        <f t="shared" si="0"/>
        <v>City of Hollister California Open Directory 2015-2021</v>
      </c>
      <c r="D68" t="s">
        <v>47</v>
      </c>
    </row>
    <row r="69" spans="1:5" x14ac:dyDescent="0.2">
      <c r="A69" t="str">
        <f>HYPERLINK("http://hollister.ca.gov/wp-content/uploads/2021", "http://hollister.ca.gov/wp-content/uploads/2021")</f>
        <v>http://hollister.ca.gov/wp-content/uploads/2021</v>
      </c>
      <c r="B69" t="s">
        <v>5</v>
      </c>
      <c r="C69" t="str">
        <f t="shared" si="0"/>
        <v>City of Hollister California Open Directory 2015-2021</v>
      </c>
      <c r="D69" t="s">
        <v>47</v>
      </c>
    </row>
    <row r="70" spans="1:5" x14ac:dyDescent="0.2">
      <c r="A70" t="str">
        <f>HYPERLINK("http://218.94.103.156:8090", "http://218.94.103.156:8090")</f>
        <v>http://218.94.103.156:8090</v>
      </c>
      <c r="B70" t="s">
        <v>5</v>
      </c>
      <c r="C70" t="str">
        <f>HYPERLINK("https://www.reddit.com/r/opendirectories/comments/lne99q", "Microsoft leaked source code archive_2020-09")</f>
        <v>Microsoft leaked source code archive_2020-09</v>
      </c>
      <c r="D70" t="s">
        <v>48</v>
      </c>
    </row>
    <row r="71" spans="1:5" x14ac:dyDescent="0.2">
      <c r="A71" t="str">
        <f>HYPERLINK("http://vx.zedz.net", "http://vx.zedz.net")</f>
        <v>http://vx.zedz.net</v>
      </c>
      <c r="B71" t="s">
        <v>5</v>
      </c>
      <c r="C71" t="str">
        <f>HYPERLINK("https://www.reddit.com/r/opendirectories/comments/lmwan6", "Looks like viruses, mostly under the /vir/ subdirectory, from 2006")</f>
        <v>Looks like viruses, mostly under the /vir/ subdirectory, from 2006</v>
      </c>
      <c r="D71" t="s">
        <v>49</v>
      </c>
    </row>
    <row r="72" spans="1:5" x14ac:dyDescent="0.2">
      <c r="A72" t="str">
        <f>HYPERLINK("http://resource2.rockyview.ab.ca/frenchvideo", "http://resource2.rockyview.ab.ca/frenchvideo")</f>
        <v>http://resource2.rockyview.ab.ca/frenchvideo</v>
      </c>
      <c r="B72" t="s">
        <v>5</v>
      </c>
      <c r="C72" t="str">
        <f>HYPERLINK("https://www.reddit.com/r/opendirectories/comments/lbc9fh", "Parlez vous Français? Learn French")</f>
        <v>Parlez vous Français? Learn French</v>
      </c>
      <c r="D72" t="s">
        <v>50</v>
      </c>
      <c r="E72" t="s">
        <v>51</v>
      </c>
    </row>
    <row r="73" spans="1:5" x14ac:dyDescent="0.2">
      <c r="A73" t="str">
        <f>HYPERLINK("https://multi-1.w1p.fr", "https://multi-1.w1p.fr")</f>
        <v>https://multi-1.w1p.fr</v>
      </c>
      <c r="B73" t="s">
        <v>5</v>
      </c>
      <c r="C73" t="str">
        <f>HYPERLINK("https://www.reddit.com/r/opendirectories/comments/laozv8", "od with some old user free websites I think, some or all are in french?")</f>
        <v>od with some old user free websites I think, some or all are in french?</v>
      </c>
      <c r="D73" t="s">
        <v>52</v>
      </c>
      <c r="E73" t="s">
        <v>51</v>
      </c>
    </row>
    <row r="74" spans="1:5" x14ac:dyDescent="0.2">
      <c r="A74" t="str">
        <f>HYPERLINK("https://www.norron-mytologi.info/diverse", "https://www.norron-mytologi.info/diverse")</f>
        <v>https://www.norron-mytologi.info/diverse</v>
      </c>
      <c r="B74" t="s">
        <v>5</v>
      </c>
      <c r="C74" t="str">
        <f>HYPERLINK("https://www.reddit.com/r/opendirectories/comments/l4wxx8", "Norse Mythology")</f>
        <v>Norse Mythology</v>
      </c>
      <c r="D74" t="s">
        <v>53</v>
      </c>
    </row>
    <row r="75" spans="1:5" x14ac:dyDescent="0.2">
      <c r="A75" t="str">
        <f>HYPERLINK("http://freenrg.info", "http://freenrg.info")</f>
        <v>http://freenrg.info</v>
      </c>
      <c r="B75" t="s">
        <v>5</v>
      </c>
      <c r="C75" t="str">
        <f>HYPERLINK("https://www.reddit.com/r/opendirectories/comments/kp0tvm", "Misc UFO stuff")</f>
        <v>Misc UFO stuff</v>
      </c>
      <c r="D75" t="s">
        <v>54</v>
      </c>
    </row>
    <row r="76" spans="1:5" x14ac:dyDescent="0.2">
      <c r="A76" t="str">
        <f>HYPERLINK("http://www.reeve.com/Documents", "http://www.reeve.com/Documents")</f>
        <v>http://www.reeve.com/Documents</v>
      </c>
      <c r="B76" t="s">
        <v>5</v>
      </c>
      <c r="C76" t="str">
        <f>HYPERLINK("https://www.reddit.com/r/opendirectories/comments/kozfe1", "Publications and other ressources from the Reeve Observatory at Anchorage")</f>
        <v>Publications and other ressources from the Reeve Observatory at Anchorage</v>
      </c>
      <c r="D76" t="s">
        <v>54</v>
      </c>
    </row>
    <row r="77" spans="1:5" x14ac:dyDescent="0.2">
      <c r="A77" t="str">
        <f>HYPERLINK("https://file.wikileaks.org", "https://file.wikileaks.org")</f>
        <v>https://file.wikileaks.org</v>
      </c>
      <c r="B77" t="s">
        <v>5</v>
      </c>
      <c r="C77" t="str">
        <f>HYPERLINK("https://www.reddit.com/r/opendirectories/comments/kifefo", "Wikileaks dumped all of their files in a Open Directory")</f>
        <v>Wikileaks dumped all of their files in a Open Directory</v>
      </c>
      <c r="D77" t="s">
        <v>55</v>
      </c>
    </row>
    <row r="78" spans="1:5" x14ac:dyDescent="0.2">
      <c r="A78" t="str">
        <f>HYPERLINK("https://opportunityinsights.org/wp-content/uploads", "https://opportunityinsights.org/wp-content/uploads")</f>
        <v>https://opportunityinsights.org/wp-content/uploads</v>
      </c>
      <c r="B78" t="s">
        <v>5</v>
      </c>
      <c r="C78" t="str">
        <f>HYPERLINK("https://www.reddit.com/r/opendirectories/comments/kduxo1", "Research and data about US economics")</f>
        <v>Research and data about US economics</v>
      </c>
      <c r="D78" t="s">
        <v>56</v>
      </c>
    </row>
    <row r="79" spans="1:5" x14ac:dyDescent="0.2">
      <c r="A79" t="str">
        <f>HYPERLINK("https://www.divxtotal.la/wp-content/uploads", "https://www.divxtotal.la/wp-content/uploads")</f>
        <v>https://www.divxtotal.la/wp-content/uploads</v>
      </c>
      <c r="B79" t="s">
        <v>5</v>
      </c>
      <c r="C79" t="str">
        <f>HYPERLINK("https://www.reddit.com/r/opendirectories/comments/k787u7", "Lots of torrent files")</f>
        <v>Lots of torrent files</v>
      </c>
      <c r="D79" t="s">
        <v>57</v>
      </c>
    </row>
    <row r="80" spans="1:5" x14ac:dyDescent="0.2">
      <c r="A80" t="str">
        <f>HYPERLINK("http://jfk.hood.edu/Collection/Weisberg%20Subject%20Index%20Files", "http://jfk.hood.edu/Collection/Weisberg%20Subject%20Index%20Files")</f>
        <v>http://jfk.hood.edu/Collection/Weisberg%20Subject%20Index%20Files</v>
      </c>
      <c r="B80" t="s">
        <v>5</v>
      </c>
      <c r="C80" t="str">
        <f>HYPERLINK("https://www.reddit.com/r/opendirectories/comments/k73y95", "News clippings")</f>
        <v>News clippings</v>
      </c>
      <c r="D80" t="s">
        <v>57</v>
      </c>
    </row>
    <row r="81" spans="1:5" x14ac:dyDescent="0.2">
      <c r="A81" t="str">
        <f>HYPERLINK("http://195.181.247.15", "http://195.181.247.15")</f>
        <v>http://195.181.247.15</v>
      </c>
      <c r="B81" t="s">
        <v>5</v>
      </c>
      <c r="C81" t="str">
        <f>HYPERLINK("https://www.reddit.com/r/opendirectories/comments/k73pl6", "A ton of Polish podcasts")</f>
        <v>A ton of Polish podcasts</v>
      </c>
      <c r="D81" t="s">
        <v>57</v>
      </c>
    </row>
    <row r="82" spans="1:5" x14ac:dyDescent="0.2">
      <c r="A82" t="str">
        <f>HYPERLINK("http://cd.textfiles.com/hackersencyc", "http://cd.textfiles.com/hackersencyc")</f>
        <v>http://cd.textfiles.com/hackersencyc</v>
      </c>
      <c r="B82" t="s">
        <v>5</v>
      </c>
      <c r="C82" t="str">
        <f>HYPERLINK("https://www.reddit.com/r/opendirectories/comments/k263dm", "Old scam text files... real old")</f>
        <v>Old scam text files... real old</v>
      </c>
      <c r="D82" t="s">
        <v>58</v>
      </c>
    </row>
    <row r="83" spans="1:5" x14ac:dyDescent="0.2">
      <c r="A83" t="str">
        <f>HYPERLINK("https://www.mmnt.net/db/0/1/95.24.10.73/WD/%D0%A4%D0%B8%D0%BB%D1%8C%D0%BC%D1%8B/XXX", "https://www.mmnt.net/db/0/1/95.24.10.73/WD/%D0%A4%D0%B8%D0%BB%D1%8C%D0%BC%D1%8B/XXX")</f>
        <v>https://www.mmnt.net/db/0/1/95.24.10.73/WD/%D0%A4%D0%B8%D0%BB%D1%8C%D0%BC%D1%8B/XXX</v>
      </c>
      <c r="B83" t="s">
        <v>5</v>
      </c>
      <c r="C83" t="str">
        <f>HYPERLINK("https://www.reddit.com/r/opendirectories/comments/jzlpvd", "Download help needed!")</f>
        <v>Download help needed!</v>
      </c>
      <c r="D83" t="s">
        <v>59</v>
      </c>
    </row>
    <row r="84" spans="1:5" x14ac:dyDescent="0.2">
      <c r="A84" t="str">
        <f>HYPERLINK("http://www.hwapu.com.cn/softsave", "http://www.hwapu.com.cn/softsave")</f>
        <v>http://www.hwapu.com.cn/softsave</v>
      </c>
      <c r="B84" t="s">
        <v>5</v>
      </c>
      <c r="C84" t="str">
        <f>HYPERLINK("https://www.reddit.com/r/opendirectories/comments/jyeouf", "Open directory of a Chinese company, contents like a waste bin")</f>
        <v>Open directory of a Chinese company, contents like a waste bin</v>
      </c>
      <c r="D84" t="s">
        <v>60</v>
      </c>
      <c r="E84" t="s">
        <v>61</v>
      </c>
    </row>
    <row r="85" spans="1:5" x14ac:dyDescent="0.2">
      <c r="A85" t="str">
        <f>HYPERLINK("https://gachi.bepis.io/storage/Collections", "https://gachi.bepis.io/storage/Collections")</f>
        <v>https://gachi.bepis.io/storage/Collections</v>
      </c>
      <c r="B85" t="s">
        <v>5</v>
      </c>
      <c r="C85" t="str">
        <f>HYPERLINK("https://www.reddit.com/r/opendirectories/comments/gyxa1b", "Ready for some Gachi?")</f>
        <v>Ready for some Gachi?</v>
      </c>
      <c r="D85" t="s">
        <v>62</v>
      </c>
      <c r="E85" t="s">
        <v>63</v>
      </c>
    </row>
    <row r="86" spans="1:5" x14ac:dyDescent="0.2">
      <c r="A86" t="str">
        <f>HYPERLINK("http://www.royalrife.com/ftp01", "http://www.royalrife.com/ftp01")</f>
        <v>http://www.royalrife.com/ftp01</v>
      </c>
      <c r="B86" t="s">
        <v>5</v>
      </c>
      <c r="C86" t="str">
        <f>HYPERLINK("https://www.reddit.com/r/opendirectories/comments/jhdmpi", "Medical research cancer Raymond rife")</f>
        <v>Medical research cancer Raymond rife</v>
      </c>
      <c r="D86" t="s">
        <v>64</v>
      </c>
    </row>
    <row r="87" spans="1:5" x14ac:dyDescent="0.2">
      <c r="A87" t="str">
        <f>HYPERLINK("https://sec.sipsik.net", "https://sec.sipsik.net")</f>
        <v>https://sec.sipsik.net</v>
      </c>
      <c r="B87" t="s">
        <v>5</v>
      </c>
      <c r="C87" t="str">
        <f>HYPERLINK("https://www.reddit.com/r/opendirectories/comments/jf995y", "Lots of older computer text files and tutorials.")</f>
        <v>Lots of older computer text files and tutorials.</v>
      </c>
      <c r="D87" t="s">
        <v>65</v>
      </c>
    </row>
    <row r="88" spans="1:5" x14ac:dyDescent="0.2">
      <c r="A88" t="str">
        <f>HYPERLINK("https://entropy.soldierx.com/~kayin/archive", "https://entropy.soldierx.com/~kayin/archive")</f>
        <v>https://entropy.soldierx.com/~kayin/archive</v>
      </c>
      <c r="B88" t="s">
        <v>5</v>
      </c>
      <c r="C88" t="str">
        <f>HYPERLINK("https://www.reddit.com/r/opendirectories/comments/jf90ny", "2010-era hacking/cracking/computer TXT files and media.")</f>
        <v>2010-era hacking/cracking/computer TXT files and media.</v>
      </c>
      <c r="D88" t="s">
        <v>65</v>
      </c>
    </row>
    <row r="89" spans="1:5" x14ac:dyDescent="0.2">
      <c r="A89" t="str">
        <f>HYPERLINK("http://www.zq1.de/~bernhard", "http://www.zq1.de/~bernhard")</f>
        <v>http://www.zq1.de/~bernhard</v>
      </c>
      <c r="B89" t="s">
        <v>5</v>
      </c>
      <c r="C89" t="str">
        <f>HYPERLINK("https://www.reddit.com/r/opendirectories/comments/jf8s3q", "Linux stuff and some website mirrors (check /mirror as well - hidden link?)")</f>
        <v>Linux stuff and some website mirrors (check /mirror as well - hidden link?)</v>
      </c>
      <c r="D89" t="s">
        <v>65</v>
      </c>
    </row>
    <row r="90" spans="1:5" x14ac:dyDescent="0.2">
      <c r="A90" t="str">
        <f>HYPERLINK("http://wien.tomnetworks.com", "http://wien.tomnetworks.com")</f>
        <v>http://wien.tomnetworks.com</v>
      </c>
      <c r="B90" t="s">
        <v>5</v>
      </c>
      <c r="C90" t="str">
        <f>HYPERLINK("https://www.reddit.com/r/opendirectories/comments/j4j7tz", "someone's university projects")</f>
        <v>someone's university projects</v>
      </c>
      <c r="D90" t="s">
        <v>66</v>
      </c>
    </row>
    <row r="91" spans="1:5" x14ac:dyDescent="0.2">
      <c r="A91" t="str">
        <f>HYPERLINK("http://www.ossh.com", "http://www.ossh.com")</f>
        <v>http://www.ossh.com</v>
      </c>
      <c r="B91" t="s">
        <v>5</v>
      </c>
      <c r="C91" t="str">
        <f>HYPERLINK("https://www.reddit.com/r/opendirectories/comments/j4j19f", "someone's old dump folder")</f>
        <v>someone's old dump folder</v>
      </c>
      <c r="D91" t="s">
        <v>66</v>
      </c>
    </row>
    <row r="92" spans="1:5" x14ac:dyDescent="0.2">
      <c r="A92" t="str">
        <f>HYPERLINK("https://eagle.fish.washington.edu", "https://eagle.fish.washington.edu")</f>
        <v>https://eagle.fish.washington.edu</v>
      </c>
      <c r="B92" t="s">
        <v>5</v>
      </c>
      <c r="C92" t="str">
        <f>HYPERLINK("https://www.reddit.com/r/opendirectories/comments/j0nih2", "RNAseq, SNP chip and other sequencing data for bivalves.")</f>
        <v>RNAseq, SNP chip and other sequencing data for bivalves.</v>
      </c>
      <c r="D92" t="s">
        <v>67</v>
      </c>
    </row>
    <row r="93" spans="1:5" x14ac:dyDescent="0.2">
      <c r="A93" t="str">
        <f>HYPERLINK("https://devel.lulzbot.com", "https://devel.lulzbot.com")</f>
        <v>https://devel.lulzbot.com</v>
      </c>
      <c r="B93" t="s">
        <v>5</v>
      </c>
      <c r="C93" t="str">
        <f>HYPERLINK("https://www.reddit.com/r/opendirectories/comments/iq6usk", "Some of you makers and hobbyists will appreciate these! (3D stl files)")</f>
        <v>Some of you makers and hobbyists will appreciate these! (3D stl files)</v>
      </c>
      <c r="D93" t="s">
        <v>68</v>
      </c>
    </row>
    <row r="94" spans="1:5" x14ac:dyDescent="0.2">
      <c r="A94" t="str">
        <f>HYPERLINK("https://deadlyfoez.com", "https://deadlyfoez.com")</f>
        <v>https://deadlyfoez.com</v>
      </c>
      <c r="B94" t="s">
        <v>5</v>
      </c>
      <c r="C94" t="str">
        <f>HYPERLINK("https://www.reddit.com/r/opendirectories/comments/im463p", "Small Open Directory of recent Nintendo leaks and a bit of other Nintendo related stuff")</f>
        <v>Small Open Directory of recent Nintendo leaks and a bit of other Nintendo related stuff</v>
      </c>
      <c r="D94" t="s">
        <v>69</v>
      </c>
    </row>
    <row r="95" spans="1:5" x14ac:dyDescent="0.2">
      <c r="A95" t="str">
        <f>HYPERLINK("http://www.skidrowstudios.com", "http://www.skidrowstudios.com")</f>
        <v>http://www.skidrowstudios.com</v>
      </c>
      <c r="B95" t="s">
        <v>5</v>
      </c>
      <c r="C95" t="str">
        <f>HYPERLINK("https://www.reddit.com/r/opendirectories/comments/ikuhdx", "A random assortment...some r&amp;amp;b, big lebowski and other random mp4s, mp3s and I dont really know what all...")</f>
        <v>A random assortment...some r&amp;amp;b, big lebowski and other random mp4s, mp3s and I dont really know what all...</v>
      </c>
      <c r="D95" t="s">
        <v>70</v>
      </c>
    </row>
    <row r="96" spans="1:5" x14ac:dyDescent="0.2">
      <c r="A96" t="str">
        <f>HYPERLINK("https://www.ftp-sites.org", "https://www.ftp-sites.org")</f>
        <v>https://www.ftp-sites.org</v>
      </c>
      <c r="B96" t="s">
        <v>5</v>
      </c>
      <c r="C96" t="str">
        <f>HYPERLINK("https://www.reddit.com/r/opendirectories/comments/ifa14a", "List of 747 working(?) FTP servers")</f>
        <v>List of 747 working(?) FTP servers</v>
      </c>
      <c r="D96" t="s">
        <v>71</v>
      </c>
    </row>
    <row r="97" spans="1:5" x14ac:dyDescent="0.2">
      <c r="A97" t="str">
        <f>HYPERLINK("http://web.cs.wpi.edu/~cs585", "http://web.cs.wpi.edu/~cs585")</f>
        <v>http://web.cs.wpi.edu/~cs585</v>
      </c>
      <c r="B97" t="s">
        <v>5</v>
      </c>
      <c r="C97" t="str">
        <f>HYPERLINK("https://www.reddit.com/r/opendirectories/comments/idjw7a", "Computer Science Course")</f>
        <v>Computer Science Course</v>
      </c>
      <c r="D97" t="s">
        <v>72</v>
      </c>
    </row>
    <row r="98" spans="1:5" x14ac:dyDescent="0.2">
      <c r="A98" t="str">
        <f>HYPERLINK("https://hls.gsfc.nasa.gov", "https://hls.gsfc.nasa.gov")</f>
        <v>https://hls.gsfc.nasa.gov</v>
      </c>
      <c r="B98" t="s">
        <v>5</v>
      </c>
      <c r="C98" t="str">
        <f>HYPERLINK("https://www.reddit.com/r/opendirectories/comments/ice2lp", "weird nasa thing , dont know what it is")</f>
        <v>weird nasa thing , dont know what it is</v>
      </c>
      <c r="D98" t="s">
        <v>73</v>
      </c>
    </row>
    <row r="99" spans="1:5" x14ac:dyDescent="0.2">
      <c r="A99" t="str">
        <f>HYPERLINK("http://synapse.persiangig.com", "http://synapse.persiangig.com")</f>
        <v>http://synapse.persiangig.com</v>
      </c>
      <c r="B99" t="s">
        <v>5</v>
      </c>
      <c r="C99" t="str">
        <f>HYPERLINK("https://www.reddit.com/r/opendirectories/comments/i89oy6", "Iranian torrent files")</f>
        <v>Iranian torrent files</v>
      </c>
      <c r="D99" t="s">
        <v>74</v>
      </c>
    </row>
    <row r="100" spans="1:5" x14ac:dyDescent="0.2">
      <c r="A100" t="str">
        <f>HYPERLINK("http://openstorage.gunadarma.ac.id", "http://openstorage.gunadarma.ac.id")</f>
        <v>http://openstorage.gunadarma.ac.id</v>
      </c>
      <c r="B100" t="s">
        <v>5</v>
      </c>
      <c r="C100" t="str">
        <f>HYPERLINK("https://www.reddit.com/r/opendirectories/comments/i7ruqy", "linux ISOs")</f>
        <v>linux ISOs</v>
      </c>
      <c r="D100" t="s">
        <v>75</v>
      </c>
    </row>
    <row r="101" spans="1:5" x14ac:dyDescent="0.2">
      <c r="A101" t="str">
        <f>HYPERLINK("http://www.dfki.de/~horacek", "http://www.dfki.de/~horacek")</f>
        <v>http://www.dfki.de/~horacek</v>
      </c>
      <c r="B101" t="s">
        <v>5</v>
      </c>
      <c r="C101" t="str">
        <f>HYPERLINK("https://www.reddit.com/r/opendirectories/comments/i7ros3", "ML lecture notes")</f>
        <v>ML lecture notes</v>
      </c>
      <c r="D101" t="s">
        <v>75</v>
      </c>
    </row>
    <row r="102" spans="1:5" x14ac:dyDescent="0.2">
      <c r="A102" t="str">
        <f>HYPERLINK("http://gazizova.net/pub", "http://gazizova.net/pub")</f>
        <v>http://gazizova.net/pub</v>
      </c>
      <c r="B102" t="s">
        <v>5</v>
      </c>
      <c r="C102" t="str">
        <f>HYPERLINK("https://www.reddit.com/r/opendirectories/comments/i69lq4", "Huge collection of a lot of stuff.")</f>
        <v>Huge collection of a lot of stuff.</v>
      </c>
      <c r="D102" t="s">
        <v>76</v>
      </c>
      <c r="E102" t="s">
        <v>8</v>
      </c>
    </row>
    <row r="103" spans="1:5" x14ac:dyDescent="0.2">
      <c r="A103" t="str">
        <f>HYPERLINK("http://85.24.180.213:8081", "http://85.24.180.213:8081")</f>
        <v>http://85.24.180.213:8081</v>
      </c>
      <c r="B103" t="s">
        <v>5</v>
      </c>
      <c r="C103" t="str">
        <f>HYPERLINK("https://www.reddit.com/r/opendirectories/comments/ht8tqk", "Halo Audiobooks - Some others in root.")</f>
        <v>Halo Audiobooks - Some others in root.</v>
      </c>
      <c r="D103" t="s">
        <v>77</v>
      </c>
    </row>
    <row r="104" spans="1:5" x14ac:dyDescent="0.2">
      <c r="A104" t="str">
        <f>HYPERLINK("http://rickroderick.org/download", "http://rickroderick.org/download")</f>
        <v>http://rickroderick.org/download</v>
      </c>
      <c r="B104" t="s">
        <v>5</v>
      </c>
      <c r="C104" t="str">
        <f>HYPERLINK("https://www.reddit.com/r/opendirectories/comments/hoac8u", "Lectures from the late Professor Rick Roderick. Recommended watching.")</f>
        <v>Lectures from the late Professor Rick Roderick. Recommended watching.</v>
      </c>
      <c r="D104" t="s">
        <v>78</v>
      </c>
    </row>
    <row r="105" spans="1:5" x14ac:dyDescent="0.2">
      <c r="A105" t="str">
        <f>HYPERLINK("https://www.appa.org/wp-content/uploads", "https://www.appa.org/wp-content/uploads")</f>
        <v>https://www.appa.org/wp-content/uploads</v>
      </c>
      <c r="B105" t="s">
        <v>5</v>
      </c>
      <c r="C105" t="str">
        <f>HYPERLINK("https://www.reddit.com/r/opendirectories/comments/hnw8o0", "APPA.ORG - A very boring OD")</f>
        <v>APPA.ORG - A very boring OD</v>
      </c>
      <c r="D105" t="s">
        <v>78</v>
      </c>
    </row>
    <row r="106" spans="1:5" x14ac:dyDescent="0.2">
      <c r="A106" t="str">
        <f>HYPERLINK("https://eightvirtues.com/lakka", "https://eightvirtues.com/lakka")</f>
        <v>https://eightvirtues.com/lakka</v>
      </c>
      <c r="B106" t="s">
        <v>5</v>
      </c>
      <c r="C106" t="str">
        <f>HYPERLINK("https://www.reddit.com/r/opendirectories/comments/hn74si", "Lakka Emulation BIOS files")</f>
        <v>Lakka Emulation BIOS files</v>
      </c>
      <c r="D106" t="s">
        <v>79</v>
      </c>
    </row>
    <row r="107" spans="1:5" x14ac:dyDescent="0.2">
      <c r="A107" t="str">
        <f>HYPERLINK("https://files.stroyinf.ru/Data/284/28441", "https://files.stroyinf.ru/Data/284/28441")</f>
        <v>https://files.stroyinf.ru/Data/284/28441</v>
      </c>
      <c r="B107" t="s">
        <v>5</v>
      </c>
      <c r="C107" t="str">
        <f>HYPERLINK("https://www.reddit.com/r/opendirectories/comments/hmraqs", "seems to be russian/soviet patents or something.")</f>
        <v>seems to be russian/soviet patents or something.</v>
      </c>
      <c r="D107" t="s">
        <v>80</v>
      </c>
      <c r="E107" t="s">
        <v>8</v>
      </c>
    </row>
    <row r="108" spans="1:5" x14ac:dyDescent="0.2">
      <c r="A108" t="str">
        <f>HYPERLINK("https://feralhosting.com", "https://feralhosting.com")</f>
        <v>https://feralhosting.com</v>
      </c>
      <c r="B108" t="s">
        <v>5</v>
      </c>
      <c r="C108" t="str">
        <f>HYPERLINK("https://www.reddit.com/r/opendirectories/comments/hk2ri9", "What we need is a tool that accepts a domain name (or list of domain names) and tells us if there is a open directory behind it.")</f>
        <v>What we need is a tool that accepts a domain name (or list of domain names) and tells us if there is a open directory behind it.</v>
      </c>
      <c r="D108" t="s">
        <v>81</v>
      </c>
    </row>
    <row r="109" spans="1:5" x14ac:dyDescent="0.2">
      <c r="A109" t="str">
        <f>HYPERLINK("http://www.glasbergen.com/wp-content/gallery", "http://www.glasbergen.com/wp-content/gallery")</f>
        <v>http://www.glasbergen.com/wp-content/gallery</v>
      </c>
      <c r="B109" t="s">
        <v>5</v>
      </c>
      <c r="C109" t="str">
        <f>HYPERLINK("https://www.reddit.com/r/opendirectories/comments/hgs0a3", "Cartoon for any Occasion...")</f>
        <v>Cartoon for any Occasion...</v>
      </c>
      <c r="D109" t="s">
        <v>82</v>
      </c>
    </row>
    <row r="110" spans="1:5" x14ac:dyDescent="0.2">
      <c r="A110" t="str">
        <f>HYPERLINK("https://homepages.uc.edu/~martinj/Philosophy%20and%20Religion", "https://homepages.uc.edu/~martinj/Philosophy%20and%20Religion")</f>
        <v>https://homepages.uc.edu/~martinj/Philosophy%20and%20Religion</v>
      </c>
      <c r="B110" t="s">
        <v>5</v>
      </c>
      <c r="C110" t="str">
        <f>HYPERLINK("https://www.reddit.com/r/opendirectories/comments/hfqw3r", "University Philosophy and Religion Materials")</f>
        <v>University Philosophy and Religion Materials</v>
      </c>
      <c r="D110" t="s">
        <v>83</v>
      </c>
    </row>
    <row r="111" spans="1:5" x14ac:dyDescent="0.2">
      <c r="A111" t="str">
        <f>HYPERLINK("http://vis.cs.brown.edu/results/videos", "http://vis.cs.brown.edu/results/videos")</f>
        <v>http://vis.cs.brown.edu/results/videos</v>
      </c>
      <c r="B111" t="s">
        <v>5</v>
      </c>
      <c r="C111" t="str">
        <f>HYPERLINK("https://www.reddit.com/r/opendirectories/comments/hfoude", "Brown University's CompSci Department, seems oriented towards graphics/viz/3D Modeling")</f>
        <v>Brown University's CompSci Department, seems oriented towards graphics/viz/3D Modeling</v>
      </c>
      <c r="D111" t="s">
        <v>83</v>
      </c>
    </row>
    <row r="112" spans="1:5" x14ac:dyDescent="0.2">
      <c r="A112" t="str">
        <f>HYPERLINK("http://tutorials.firestaff.net/tutorials", "http://tutorials.firestaff.net/tutorials")</f>
        <v>http://tutorials.firestaff.net/tutorials</v>
      </c>
      <c r="B112" t="s">
        <v>5</v>
      </c>
      <c r="C112" t="str">
        <f>HYPERLINK("https://www.reddit.com/r/opendirectories/comments/gz1vhz", "Tuts for firestaffing")</f>
        <v>Tuts for firestaffing</v>
      </c>
      <c r="D112" t="s">
        <v>62</v>
      </c>
    </row>
    <row r="113" spans="1:4" x14ac:dyDescent="0.2">
      <c r="A113" t="str">
        <f>HYPERLINK("https://www.codot.gov/content", "https://www.codot.gov/content")</f>
        <v>https://www.codot.gov/content</v>
      </c>
      <c r="B113" t="s">
        <v>5</v>
      </c>
      <c r="C113" t="str">
        <f>HYPERLINK("https://www.reddit.com/r/opendirectories/comments/gx8no8", "A Very Boring Government Website")</f>
        <v>A Very Boring Government Website</v>
      </c>
      <c r="D113" t="s">
        <v>84</v>
      </c>
    </row>
    <row r="114" spans="1:4" x14ac:dyDescent="0.2">
      <c r="A114" t="str">
        <f>HYPERLINK("https://pdsimage2.wr.usgs.gov", "https://pdsimage2.wr.usgs.gov")</f>
        <v>https://pdsimage2.wr.usgs.gov</v>
      </c>
      <c r="B114" t="s">
        <v>5</v>
      </c>
      <c r="C114" t="str">
        <f>HYPERLINK("https://www.reddit.com/r/opendirectories/comments/gqxowp", "United States Geological Survey NASA Planetary Data System Index")</f>
        <v>United States Geological Survey NASA Planetary Data System Index</v>
      </c>
      <c r="D114" t="s">
        <v>85</v>
      </c>
    </row>
    <row r="115" spans="1:4" x14ac:dyDescent="0.2">
      <c r="A115" t="str">
        <f>HYPERLINK("http://mirror.bytemark.co.uk", "http://mirror.bytemark.co.uk")</f>
        <v>http://mirror.bytemark.co.uk</v>
      </c>
      <c r="B115" t="s">
        <v>5</v>
      </c>
      <c r="C115" t="str">
        <f>HYPERLINK("https://www.reddit.com/r/opendirectories/comments/gd9qqm", "Some Linux distros")</f>
        <v>Some Linux distros</v>
      </c>
      <c r="D115" t="s">
        <v>86</v>
      </c>
    </row>
    <row r="116" spans="1:4" x14ac:dyDescent="0.2">
      <c r="A116" t="str">
        <f>HYPERLINK("http://www.cista.net/tomes", "http://www.cista.net/tomes")</f>
        <v>http://www.cista.net/tomes</v>
      </c>
      <c r="B116" t="s">
        <v>5</v>
      </c>
      <c r="C116" t="str">
        <f>HYPERLINK("https://www.reddit.com/r/opendirectories/comments/g8vkmw", "If you guys know who Mantak Chia is, you'll love this ...")</f>
        <v>If you guys know who Mantak Chia is, you'll love this ...</v>
      </c>
      <c r="D116" t="s">
        <v>87</v>
      </c>
    </row>
    <row r="117" spans="1:4" x14ac:dyDescent="0.2">
      <c r="A117" t="str">
        <f>HYPERLINK("https://dynamics.cs.washington.edu/nobackup", "https://dynamics.cs.washington.edu/nobackup")</f>
        <v>https://dynamics.cs.washington.edu/nobackup</v>
      </c>
      <c r="B117" t="s">
        <v>5</v>
      </c>
      <c r="C117" t="str">
        <f>HYPERLINK("https://www.reddit.com/r/opendirectories/comments/g5x77f", "paradox¿ OD of what looks like all of Reddit downloaded and compressed")</f>
        <v>paradox¿ OD of what looks like all of Reddit downloaded and compressed</v>
      </c>
      <c r="D117" t="s">
        <v>88</v>
      </c>
    </row>
    <row r="118" spans="1:4" x14ac:dyDescent="0.2">
      <c r="A118" t="str">
        <f>HYPERLINK("https://archive.midnightchannel.net", "https://archive.midnightchannel.net")</f>
        <v>https://archive.midnightchannel.net</v>
      </c>
      <c r="B118" t="s">
        <v>5</v>
      </c>
      <c r="C118" t="str">
        <f>HYPERLINK("https://www.reddit.com/r/opendirectories/comments/g5ls9e", "An archive of firmware updates for PSP, PS3, Vita and PS4")</f>
        <v>An archive of firmware updates for PSP, PS3, Vita and PS4</v>
      </c>
      <c r="D118" t="s">
        <v>89</v>
      </c>
    </row>
    <row r="119" spans="1:4" x14ac:dyDescent="0.2">
      <c r="A119" t="str">
        <f>HYPERLINK("https://kanaliena.gr/wp-content/uploads", "https://kanaliena.gr/wp-content/uploads")</f>
        <v>https://kanaliena.gr/wp-content/uploads</v>
      </c>
      <c r="B119" t="s">
        <v>5</v>
      </c>
      <c r="C119" t="str">
        <f>HYPERLINK("https://www.reddit.com/r/opendirectories/comments/g4vbul", "I am nearly sure that none is interested but just is case here are 2 directories of random Greek sites.")</f>
        <v>I am nearly sure that none is interested but just is case here are 2 directories of random Greek sites.</v>
      </c>
      <c r="D119" t="s">
        <v>90</v>
      </c>
    </row>
    <row r="120" spans="1:4" x14ac:dyDescent="0.2">
      <c r="A120" t="str">
        <f>HYPERLINK("http://landsurvival.com/content", "http://landsurvival.com/content")</f>
        <v>http://landsurvival.com/content</v>
      </c>
      <c r="B120" t="s">
        <v>5</v>
      </c>
      <c r="C120" t="str">
        <f>HYPERLINK("https://www.reddit.com/r/opendirectories/comments/g2bhbw", "Mp3s and idk what else. Band names are the Initials of bands names")</f>
        <v>Mp3s and idk what else. Band names are the Initials of bands names</v>
      </c>
      <c r="D120" t="s">
        <v>91</v>
      </c>
    </row>
    <row r="121" spans="1:4" x14ac:dyDescent="0.2">
      <c r="A121" t="str">
        <f>HYPERLINK("https://earthquake.usgs.gov/static", "https://earthquake.usgs.gov/static")</f>
        <v>https://earthquake.usgs.gov/static</v>
      </c>
      <c r="B121" t="s">
        <v>5</v>
      </c>
      <c r="C121" t="str">
        <f>HYPERLINK("https://www.reddit.com/r/opendirectories/comments/ft4fpj", "Index of /static")</f>
        <v>Index of /static</v>
      </c>
      <c r="D121" t="s">
        <v>92</v>
      </c>
    </row>
    <row r="122" spans="1:4" x14ac:dyDescent="0.2">
      <c r="A122" t="str">
        <f>HYPERLINK("http://www.bionut.ki.se/users", "http://www.bionut.ki.se/users")</f>
        <v>http://www.bionut.ki.se/users</v>
      </c>
      <c r="B122" t="s">
        <v>5</v>
      </c>
      <c r="C122" t="str">
        <f>HYPERLINK("https://www.reddit.com/r/opendirectories/comments/fgba4t", "Swedish medical research")</f>
        <v>Swedish medical research</v>
      </c>
      <c r="D122" t="s">
        <v>93</v>
      </c>
    </row>
    <row r="123" spans="1:4" x14ac:dyDescent="0.2">
      <c r="A123" t="str">
        <f>HYPERLINK("http://devpolicy.org/excel", "http://devpolicy.org/excel")</f>
        <v>http://devpolicy.org/excel</v>
      </c>
      <c r="B123" t="s">
        <v>5</v>
      </c>
      <c r="C123" t="str">
        <f>HYPERLINK("https://www.reddit.com/r/opendirectories/comments/fc6e8m", "A whole bunch of excel data.")</f>
        <v>A whole bunch of excel data.</v>
      </c>
      <c r="D123" t="s">
        <v>94</v>
      </c>
    </row>
    <row r="124" spans="1:4" x14ac:dyDescent="0.2">
      <c r="A124" t="str">
        <f>HYPERLINK("http://www.neurochirurgica.org/IMG", "http://www.neurochirurgica.org/IMG")</f>
        <v>http://www.neurochirurgica.org/IMG</v>
      </c>
      <c r="B124" t="s">
        <v>5</v>
      </c>
      <c r="C124" t="str">
        <f>HYPERLINK("https://www.reddit.com/r/opendirectories/comments/f19xqg", "Various files related to neurosurgery")</f>
        <v>Various files related to neurosurgery</v>
      </c>
      <c r="D124" t="s">
        <v>95</v>
      </c>
    </row>
    <row r="125" spans="1:4" x14ac:dyDescent="0.2">
      <c r="A125" t="str">
        <f>HYPERLINK("http://www.ccnn.org.np/uploaded", "http://www.ccnn.org.np/uploaded")</f>
        <v>http://www.ccnn.org.np/uploaded</v>
      </c>
      <c r="B125" t="s">
        <v>5</v>
      </c>
      <c r="C125" t="str">
        <f>HYPERLINK("https://www.reddit.com/r/opendirectories/comments/f19vh2", "XML uploads in Nepali Domain redirects to adult site")</f>
        <v>XML uploads in Nepali Domain redirects to adult site</v>
      </c>
      <c r="D125" t="s">
        <v>95</v>
      </c>
    </row>
    <row r="126" spans="1:4" x14ac:dyDescent="0.2">
      <c r="A126" t="str">
        <f>HYPERLINK("http://palined.com/search/opendir_files", "http://palined.com/search/opendir_files")</f>
        <v>http://palined.com/search/opendir_files</v>
      </c>
      <c r="B126" t="s">
        <v>5</v>
      </c>
      <c r="C126" t="str">
        <f>HYPERLINK("https://www.reddit.com/r/opendirectories/comments/ey5lwc", "palined open directory")</f>
        <v>palined open directory</v>
      </c>
      <c r="D126" t="s">
        <v>96</v>
      </c>
    </row>
    <row r="127" spans="1:4" x14ac:dyDescent="0.2">
      <c r="A127" t="str">
        <f>HYPERLINK("https://www.mirrorservice.org", "https://www.mirrorservice.org")</f>
        <v>https://www.mirrorservice.org</v>
      </c>
      <c r="B127" t="s">
        <v>5</v>
      </c>
      <c r="C127" t="str">
        <f>HYPERLINK("https://www.reddit.com/r/opendirectories/comments/esm032", "University of Kent Mirror Service")</f>
        <v>University of Kent Mirror Service</v>
      </c>
      <c r="D127" t="s">
        <v>97</v>
      </c>
    </row>
    <row r="128" spans="1:4" x14ac:dyDescent="0.2">
      <c r="A128" t="str">
        <f>HYPERLINK("https://www.nhc.noaa.gov/archive", "https://www.nhc.noaa.gov/archive")</f>
        <v>https://www.nhc.noaa.gov/archive</v>
      </c>
      <c r="B128" t="s">
        <v>5</v>
      </c>
      <c r="C128" t="str">
        <f>HYPERLINK("https://www.reddit.com/r/opendirectories/comments/dhsm9r", "National hurricane center reports in TXT format")</f>
        <v>National hurricane center reports in TXT format</v>
      </c>
      <c r="D128" t="s">
        <v>98</v>
      </c>
    </row>
    <row r="129" spans="1:5" x14ac:dyDescent="0.2">
      <c r="A129" t="str">
        <f>HYPERLINK("https://vxug.fakedoma.in/samples", "https://vxug.fakedoma.in/samples")</f>
        <v>https://vxug.fakedoma.in/samples</v>
      </c>
      <c r="B129" t="s">
        <v>5</v>
      </c>
      <c r="C129" t="str">
        <f>HYPERLINK("https://www.reddit.com/r/opendirectories/comments/eb2doa", "CAUTION: 45GB+ of malware samples. great infosec dataset")</f>
        <v>CAUTION: 45GB+ of malware samples. great infosec dataset</v>
      </c>
      <c r="D129" t="s">
        <v>99</v>
      </c>
    </row>
    <row r="130" spans="1:5" x14ac:dyDescent="0.2">
      <c r="A130" t="str">
        <f>HYPERLINK("http://www.alansondheim.org", "http://www.alansondheim.org")</f>
        <v>http://www.alansondheim.org</v>
      </c>
      <c r="B130" t="s">
        <v>5</v>
      </c>
      <c r="C130" t="str">
        <f>HYPERLINK("https://www.reddit.com/r/opendirectories/comments/eacj8k", "Weird animations?")</f>
        <v>Weird animations?</v>
      </c>
      <c r="D130" t="s">
        <v>100</v>
      </c>
    </row>
    <row r="131" spans="1:5" x14ac:dyDescent="0.2">
      <c r="A131" t="str">
        <f>HYPERLINK("http://memory.loc.gov/music", "http://memory.loc.gov/music")</f>
        <v>http://memory.loc.gov/music</v>
      </c>
      <c r="B131" t="s">
        <v>5</v>
      </c>
      <c r="C131" t="str">
        <f>HYPERLINK("https://www.reddit.com/r/opendirectories/comments/e9hhtv", "There's tons here, some of which appears to be records of theater scripts.")</f>
        <v>There's tons here, some of which appears to be records of theater scripts.</v>
      </c>
      <c r="D131" t="s">
        <v>101</v>
      </c>
    </row>
    <row r="132" spans="1:5" x14ac:dyDescent="0.2">
      <c r="A132" t="str">
        <f>HYPERLINK("http://learning.happymmall.com", "http://learning.happymmall.com")</f>
        <v>http://learning.happymmall.com</v>
      </c>
      <c r="B132" t="s">
        <v>5</v>
      </c>
      <c r="C132" t="str">
        <f>HYPERLINK("https://www.reddit.com/r/opendirectories/comments/e5itda", "An index of a Japanese website containing setup files for an FTP server as well as SQL DBs")</f>
        <v>An index of a Japanese website containing setup files for an FTP server as well as SQL DBs</v>
      </c>
      <c r="D132" t="s">
        <v>102</v>
      </c>
      <c r="E132" t="s">
        <v>63</v>
      </c>
    </row>
    <row r="133" spans="1:5" x14ac:dyDescent="0.2">
      <c r="A133" t="str">
        <f>HYPERLINK("http://www.1happybirthday.com/admin/uploads", "http://www.1happybirthday.com/admin/uploads")</f>
        <v>http://www.1happybirthday.com/admin/uploads</v>
      </c>
      <c r="B133" t="s">
        <v>5</v>
      </c>
      <c r="C133" t="str">
        <f>HYPERLINK("https://www.reddit.com/r/opendirectories/comments/e1wk56", "Happy Birthday Everyone!")</f>
        <v>Happy Birthday Everyone!</v>
      </c>
      <c r="D133" t="s">
        <v>103</v>
      </c>
    </row>
    <row r="134" spans="1:5" x14ac:dyDescent="0.2">
      <c r="A134" t="str">
        <f>HYPERLINK("http://ftp.riken.jp", "http://ftp.riken.jp")</f>
        <v>http://ftp.riken.jp</v>
      </c>
      <c r="B134" t="s">
        <v>5</v>
      </c>
      <c r="C134" t="str">
        <f>HYPERLINK("https://www.reddit.com/r/opendirectories/comments/e1c66n", "Pretty Up-to-date directory of linux distributions")</f>
        <v>Pretty Up-to-date directory of linux distributions</v>
      </c>
      <c r="D134" t="s">
        <v>104</v>
      </c>
    </row>
    <row r="135" spans="1:5" x14ac:dyDescent="0.2">
      <c r="A135" t="str">
        <f>HYPERLINK("https://mlmlegal.com/MLM%20articles", "https://mlmlegal.com/MLM%20articles")</f>
        <v>https://mlmlegal.com/MLM%20articles</v>
      </c>
      <c r="B135" t="s">
        <v>5</v>
      </c>
      <c r="C135" t="str">
        <f>HYPERLINK("https://www.reddit.com/r/opendirectories/comments/e1c3rj", "MLM propaganda")</f>
        <v>MLM propaganda</v>
      </c>
      <c r="D135" t="s">
        <v>104</v>
      </c>
    </row>
    <row r="136" spans="1:5" x14ac:dyDescent="0.2">
      <c r="A136" t="str">
        <f>HYPERLINK("http://www.commissiononhealth.org/PPT", "http://www.commissiononhealth.org/PPT")</f>
        <v>http://www.commissiononhealth.org/PPT</v>
      </c>
      <c r="B136" t="s">
        <v>5</v>
      </c>
      <c r="C136" t="str">
        <f>HYPERLINK("https://www.reddit.com/r/opendirectories/comments/e1c1ul", "Poerpoint slides related to the Comission of Health")</f>
        <v>Poerpoint slides related to the Comission of Health</v>
      </c>
      <c r="D136" t="s">
        <v>104</v>
      </c>
    </row>
    <row r="137" spans="1:5" x14ac:dyDescent="0.2">
      <c r="A137" t="str">
        <f>HYPERLINK("https://kraklaa.home.xs4all.nl/Torrents", "https://kraklaa.home.xs4all.nl/Torrents")</f>
        <v>https://kraklaa.home.xs4all.nl/Torrents</v>
      </c>
      <c r="B137" t="s">
        <v>5</v>
      </c>
      <c r="C137" t="str">
        <f>HYPERLINK("https://www.reddit.com/r/opendirectories/comments/dzqgcg", "2015ish documentary torrents")</f>
        <v>2015ish documentary torrents</v>
      </c>
      <c r="D137" t="s">
        <v>105</v>
      </c>
    </row>
    <row r="138" spans="1:5" x14ac:dyDescent="0.2">
      <c r="A138" t="str">
        <f>HYPERLINK("https://mirror.math.princeton.edu", "https://mirror.math.princeton.edu")</f>
        <v>https://mirror.math.princeton.edu</v>
      </c>
      <c r="B138" t="s">
        <v>5</v>
      </c>
      <c r="C138" t="str">
        <f>HYPERLINK("https://www.reddit.com/r/opendirectories/comments/8bdko0", "Mirror of some Ted Talks 2009-2016")</f>
        <v>Mirror of some Ted Talks 2009-2016</v>
      </c>
      <c r="D138" t="s">
        <v>106</v>
      </c>
    </row>
    <row r="139" spans="1:5" x14ac:dyDescent="0.2">
      <c r="A139" t="str">
        <f>HYPERLINK("https://porn.jules-aubert.info", "https://porn.jules-aubert.info")</f>
        <v>https://porn.jules-aubert.info</v>
      </c>
      <c r="B139" t="s">
        <v>5</v>
      </c>
      <c r="C139" t="str">
        <f>HYPERLINK("https://www.reddit.com/r/opendirectories/comments/dyintc", "Up-to-date Humble Bundle directory - posted 7 months ago - over a dozen new bundles have been added since.")</f>
        <v>Up-to-date Humble Bundle directory - posted 7 months ago - over a dozen new bundles have been added since.</v>
      </c>
      <c r="D139" t="s">
        <v>107</v>
      </c>
    </row>
    <row r="140" spans="1:5" x14ac:dyDescent="0.2">
      <c r="A140" t="str">
        <f>HYPERLINK("http://44bx.com/leak/Leak/Circuits", "http://44bx.com/leak/Leak/Circuits")</f>
        <v>http://44bx.com/leak/Leak/Circuits</v>
      </c>
      <c r="B140" t="s">
        <v>5</v>
      </c>
      <c r="C140" t="str">
        <f>HYPERLINK("https://www.reddit.com/r/opendirectories/comments/dvbpg8", "Circuit diagrams")</f>
        <v>Circuit diagrams</v>
      </c>
      <c r="D140" t="s">
        <v>108</v>
      </c>
    </row>
    <row r="141" spans="1:5" x14ac:dyDescent="0.2">
      <c r="A141" t="str">
        <f>HYPERLINK("https://freebsd.kde.org/img", "https://freebsd.kde.org/img")</f>
        <v>https://freebsd.kde.org/img</v>
      </c>
      <c r="B141" t="s">
        <v>5</v>
      </c>
      <c r="C141" t="str">
        <f>HYPERLINK("https://www.reddit.com/r/opendirectories/comments/duhdsg", "Various FreeBSD screenshot directories (some fairly old stuff)")</f>
        <v>Various FreeBSD screenshot directories (some fairly old stuff)</v>
      </c>
      <c r="D141" t="s">
        <v>109</v>
      </c>
    </row>
    <row r="142" spans="1:5" x14ac:dyDescent="0.2">
      <c r="A142" t="str">
        <f>HYPERLINK("https://people.freebsd.org/~ssouhlal", "https://people.freebsd.org/~ssouhlal")</f>
        <v>https://people.freebsd.org/~ssouhlal</v>
      </c>
      <c r="B142" t="s">
        <v>5</v>
      </c>
      <c r="C142" t="str">
        <f>HYPERLINK("https://www.reddit.com/r/opendirectories/comments/duhdsg", "Various FreeBSD screenshot directories (some fairly old stuff)")</f>
        <v>Various FreeBSD screenshot directories (some fairly old stuff)</v>
      </c>
      <c r="D142" t="s">
        <v>109</v>
      </c>
    </row>
    <row r="143" spans="1:5" x14ac:dyDescent="0.2">
      <c r="A143" t="str">
        <f>HYPERLINK("https://dl.illwieckz.net/b/netradiant", "https://dl.illwieckz.net/b/netradiant")</f>
        <v>https://dl.illwieckz.net/b/netradiant</v>
      </c>
      <c r="B143" t="s">
        <v>5</v>
      </c>
      <c r="C143" t="str">
        <f>HYPERLINK("https://www.reddit.com/r/opendirectories/comments/duhdsg", "Various FreeBSD screenshot directories (some fairly old stuff)")</f>
        <v>Various FreeBSD screenshot directories (some fairly old stuff)</v>
      </c>
      <c r="D143" t="s">
        <v>109</v>
      </c>
    </row>
    <row r="144" spans="1:5" x14ac:dyDescent="0.2">
      <c r="A144" t="str">
        <f>HYPERLINK("http://corebsd.or.id", "http://corebsd.or.id")</f>
        <v>http://corebsd.or.id</v>
      </c>
      <c r="B144" t="s">
        <v>5</v>
      </c>
      <c r="C144" t="str">
        <f>HYPERLINK("https://www.reddit.com/r/opendirectories/comments/duhdsg", "Various FreeBSD screenshot directories (some fairly old stuff)")</f>
        <v>Various FreeBSD screenshot directories (some fairly old stuff)</v>
      </c>
      <c r="D144" t="s">
        <v>109</v>
      </c>
    </row>
    <row r="145" spans="1:4" x14ac:dyDescent="0.2">
      <c r="A145" t="str">
        <f>HYPERLINK("http://eavesdrop.openstack.org", "http://eavesdrop.openstack.org")</f>
        <v>http://eavesdrop.openstack.org</v>
      </c>
      <c r="B145" t="s">
        <v>5</v>
      </c>
      <c r="C145" t="str">
        <f>HYPERLINK("https://www.reddit.com/r/opendirectories/comments/dr6rou", "Various Project IRC Logs")</f>
        <v>Various Project IRC Logs</v>
      </c>
      <c r="D145" t="s">
        <v>110</v>
      </c>
    </row>
    <row r="146" spans="1:4" x14ac:dyDescent="0.2">
      <c r="A146" t="str">
        <f>HYPERLINK("https://2019.hack.lu/archive", "https://2019.hack.lu/archive")</f>
        <v>https://2019.hack.lu/archive</v>
      </c>
      <c r="B146" t="s">
        <v>5</v>
      </c>
      <c r="C146" t="str">
        <f>HYPERLINK("https://www.reddit.com/r/opendirectories/comments/dr6qds", "HACKLU hacker convention archives")</f>
        <v>HACKLU hacker convention archives</v>
      </c>
      <c r="D146" t="s">
        <v>110</v>
      </c>
    </row>
    <row r="147" spans="1:4" x14ac:dyDescent="0.2">
      <c r="A147" t="str">
        <f>HYPERLINK("http://eknp.com/fonts/zip", "http://eknp.com/fonts/zip")</f>
        <v>http://eknp.com/fonts/zip</v>
      </c>
      <c r="B147" t="s">
        <v>5</v>
      </c>
      <c r="C147" t="str">
        <f>HYPERLINK("https://www.reddit.com/r/opendirectories/comments/dr44rn", "True Type Fonts")</f>
        <v>True Type Fonts</v>
      </c>
      <c r="D147" t="s">
        <v>110</v>
      </c>
    </row>
    <row r="148" spans="1:4" x14ac:dyDescent="0.2">
      <c r="A148" t="str">
        <f>HYPERLINK("http://heatdeath.net", "http://heatdeath.net")</f>
        <v>http://heatdeath.net</v>
      </c>
      <c r="B148" t="s">
        <v>5</v>
      </c>
      <c r="C148" t="str">
        <f>HYPERLINK("https://www.reddit.com/r/opendirectories/comments/dq9z6n", "liscence plates")</f>
        <v>liscence plates</v>
      </c>
      <c r="D148" t="s">
        <v>111</v>
      </c>
    </row>
    <row r="149" spans="1:4" x14ac:dyDescent="0.2">
      <c r="A149" t="str">
        <f>HYPERLINK("http://ab5w.com/cooking", "http://ab5w.com/cooking")</f>
        <v>http://ab5w.com/cooking</v>
      </c>
      <c r="B149" t="s">
        <v>5</v>
      </c>
      <c r="C149" t="str">
        <f>HYPERLINK("https://www.reddit.com/r/opendirectories/comments/do1i7w", "directory of cookbooks")</f>
        <v>directory of cookbooks</v>
      </c>
      <c r="D149" t="s">
        <v>112</v>
      </c>
    </row>
    <row r="150" spans="1:4" x14ac:dyDescent="0.2">
      <c r="A150" t="str">
        <f>HYPERLINK("https://ukmkotakediri.com", "https://ukmkotakediri.com")</f>
        <v>https://ukmkotakediri.com</v>
      </c>
      <c r="B150" t="s">
        <v>5</v>
      </c>
      <c r="C150" t="str">
        <f>HYPERLINK("https://www.reddit.com/r/opendirectories/comments/dmux0n", "Weird files without ... extension. Some of you may be interested guys.")</f>
        <v>Weird files without ... extension. Some of you may be interested guys.</v>
      </c>
      <c r="D150" t="s">
        <v>113</v>
      </c>
    </row>
    <row r="151" spans="1:4" x14ac:dyDescent="0.2">
      <c r="A151" t="str">
        <f>HYPERLINK("https://rhaalovely.net/~landry/shared", "https://rhaalovely.net/~landry/shared")</f>
        <v>https://rhaalovely.net/~landry/shared</v>
      </c>
      <c r="B151" t="s">
        <v>5</v>
      </c>
      <c r="C151" t="str">
        <f>HYPERLINK("https://www.reddit.com/r/opendirectories/comments/dmtzqy", "Some bsd/linux scrrenshots and patches")</f>
        <v>Some bsd/linux scrrenshots and patches</v>
      </c>
      <c r="D151" t="s">
        <v>113</v>
      </c>
    </row>
    <row r="152" spans="1:4" x14ac:dyDescent="0.2">
      <c r="A152" t="str">
        <f>HYPERLINK("https://www.biosemi.com/pics", "https://www.biosemi.com/pics")</f>
        <v>https://www.biosemi.com/pics</v>
      </c>
      <c r="B152" t="s">
        <v>5</v>
      </c>
      <c r="C152" t="str">
        <f>HYPERLINK("https://www.reddit.com/r/opendirectories/comments/dk0ocp", "random tech pics")</f>
        <v>random tech pics</v>
      </c>
      <c r="D152" t="s">
        <v>114</v>
      </c>
    </row>
    <row r="153" spans="1:4" x14ac:dyDescent="0.2">
      <c r="A153" t="str">
        <f>HYPERLINK("https://services.math.duke.edu/~bray", "https://services.math.duke.edu/~bray")</f>
        <v>https://services.math.duke.edu/~bray</v>
      </c>
      <c r="B153" t="s">
        <v>5</v>
      </c>
      <c r="C153" t="str">
        <f>HYPERLINK("https://www.reddit.com/r/opendirectories/comments/dgxkyo", "Mildly Interesting: A few Exams and Exam Results from Duke University Math Department")</f>
        <v>Mildly Interesting: A few Exams and Exam Results from Duke University Math Department</v>
      </c>
      <c r="D153" t="s">
        <v>115</v>
      </c>
    </row>
    <row r="154" spans="1:4" x14ac:dyDescent="0.2">
      <c r="A154" t="str">
        <f>HYPERLINK("https://constantdullaart.com/jennifer", "https://constantdullaart.com/jennifer")</f>
        <v>https://constantdullaart.com/jennifer</v>
      </c>
      <c r="B154" t="s">
        <v>5</v>
      </c>
      <c r="C154" t="str">
        <f>HYPERLINK("https://www.reddit.com/r/opendirectories/comments/dgr326", "a bunch of really awful modern art")</f>
        <v>a bunch of really awful modern art</v>
      </c>
      <c r="D154" t="s">
        <v>115</v>
      </c>
    </row>
    <row r="155" spans="1:4" x14ac:dyDescent="0.2">
      <c r="A155" t="str">
        <f>HYPERLINK("https://beehive42.org/leaks", "https://beehive42.org/leaks")</f>
        <v>https://beehive42.org/leaks</v>
      </c>
      <c r="B155" t="s">
        <v>5</v>
      </c>
      <c r="C155" t="str">
        <f>HYPERLINK("https://www.reddit.com/r/opendirectories/comments/dgr2jg", "smaller collection of various snowden type leaks")</f>
        <v>smaller collection of various snowden type leaks</v>
      </c>
      <c r="D155" t="s">
        <v>115</v>
      </c>
    </row>
    <row r="156" spans="1:4" x14ac:dyDescent="0.2">
      <c r="A156" t="str">
        <f>HYPERLINK("https://memesfeel.com/wp-content/uploads", "https://memesfeel.com/wp-content/uploads")</f>
        <v>https://memesfeel.com/wp-content/uploads</v>
      </c>
      <c r="B156" t="s">
        <v>5</v>
      </c>
      <c r="C156" t="str">
        <f>HYPERLINK("https://www.reddit.com/r/opendirectories/comments/dewear", "memes")</f>
        <v>memes</v>
      </c>
      <c r="D156" t="s">
        <v>116</v>
      </c>
    </row>
    <row r="157" spans="1:4" x14ac:dyDescent="0.2">
      <c r="A157" t="str">
        <f>HYPERLINK("http://www.ush.it/team", "http://www.ush.it/team")</f>
        <v>http://www.ush.it/team</v>
      </c>
      <c r="B157" t="s">
        <v>5</v>
      </c>
      <c r="C157" t="str">
        <f>HYPERLINK("https://www.reddit.com/r/opendirectories/comments/deh386", "Security/Vulnerability stuff")</f>
        <v>Security/Vulnerability stuff</v>
      </c>
      <c r="D157" t="s">
        <v>117</v>
      </c>
    </row>
    <row r="158" spans="1:4" x14ac:dyDescent="0.2">
      <c r="A158" t="str">
        <f>HYPERLINK("https://ftp.yandex.ru", "https://ftp.yandex.ru")</f>
        <v>https://ftp.yandex.ru</v>
      </c>
      <c r="B158" t="s">
        <v>5</v>
      </c>
      <c r="C158" t="str">
        <f>HYPERLINK("https://www.reddit.com/r/opendirectories/comments/ddd2ve", "Actual Up to date Linux ISOS/Port Trees and such")</f>
        <v>Actual Up to date Linux ISOS/Port Trees and such</v>
      </c>
      <c r="D158" t="s">
        <v>118</v>
      </c>
    </row>
    <row r="159" spans="1:4" x14ac:dyDescent="0.2">
      <c r="A159" t="str">
        <f>HYPERLINK("http://files.novalogic.com", "http://files.novalogic.com")</f>
        <v>http://files.novalogic.com</v>
      </c>
      <c r="B159" t="s">
        <v>5</v>
      </c>
      <c r="C159" t="str">
        <f>HYPERLINK("https://www.reddit.com/r/opendirectories/comments/dd10ab", "NovaLogic File Server")</f>
        <v>NovaLogic File Server</v>
      </c>
      <c r="D159" t="s">
        <v>118</v>
      </c>
    </row>
    <row r="160" spans="1:4" x14ac:dyDescent="0.2">
      <c r="A160" t="str">
        <f>HYPERLINK("https://www.dragonflybsd.org/~marino", "https://www.dragonflybsd.org/~marino")</f>
        <v>https://www.dragonflybsd.org/~marino</v>
      </c>
      <c r="B160" t="s">
        <v>5</v>
      </c>
      <c r="C160" t="str">
        <f>HYPERLINK("https://www.reddit.com/r/opendirectories/comments/dcw8uk", "dragonfly BSD code patches/snippets/screenshots/misc")</f>
        <v>dragonfly BSD code patches/snippets/screenshots/misc</v>
      </c>
      <c r="D160" t="s">
        <v>119</v>
      </c>
    </row>
    <row r="161" spans="1:5" x14ac:dyDescent="0.2">
      <c r="A161" t="str">
        <f>HYPERLINK("http://www.miketyka.com/projects", "http://www.miketyka.com/projects")</f>
        <v>http://www.miketyka.com/projects</v>
      </c>
      <c r="B161" t="s">
        <v>5</v>
      </c>
      <c r="C161" t="str">
        <f>HYPERLINK("https://www.reddit.com/r/opendirectories/comments/dcw6ff", "AI and other tech projects")</f>
        <v>AI and other tech projects</v>
      </c>
      <c r="D161" t="s">
        <v>119</v>
      </c>
    </row>
    <row r="162" spans="1:5" x14ac:dyDescent="0.2">
      <c r="A162" t="str">
        <f>HYPERLINK("http://gotroot.ca/~ktims", "http://gotroot.ca/~ktims")</f>
        <v>http://gotroot.ca/~ktims</v>
      </c>
      <c r="B162" t="s">
        <v>5</v>
      </c>
      <c r="C162" t="str">
        <f>HYPERLINK("https://www.reddit.com/r/opendirectories/comments/dcrlbh", "Random users directory on gotroot. Theres an iTunes database in there and some pngs")</f>
        <v>Random users directory on gotroot. Theres an iTunes database in there and some pngs</v>
      </c>
      <c r="D162" t="s">
        <v>119</v>
      </c>
    </row>
    <row r="163" spans="1:5" x14ac:dyDescent="0.2">
      <c r="A163" t="str">
        <f>HYPERLINK("http://www.oohpictures.eu", "http://www.oohpictures.eu")</f>
        <v>http://www.oohpictures.eu</v>
      </c>
      <c r="B163" t="s">
        <v>5</v>
      </c>
      <c r="C163" t="str">
        <f>HYPERLINK("https://www.reddit.com/r/opendirectories/comments/d55m95", "Some guy took a metric shit ton of phtotos of different roads and signs in his travels")</f>
        <v>Some guy took a metric shit ton of phtotos of different roads and signs in his travels</v>
      </c>
      <c r="D163" t="s">
        <v>120</v>
      </c>
    </row>
    <row r="164" spans="1:5" x14ac:dyDescent="0.2">
      <c r="A164" t="str">
        <f>HYPERLINK("http://files.realspellers.org/PetesFolder", "http://files.realspellers.org/PetesFolder")</f>
        <v>http://files.realspellers.org/PetesFolder</v>
      </c>
      <c r="B164" t="s">
        <v>5</v>
      </c>
      <c r="D164" t="s">
        <v>121</v>
      </c>
    </row>
    <row r="165" spans="1:5" x14ac:dyDescent="0.2">
      <c r="A165" t="str">
        <f>HYPERLINK("http://moteleslagaviota.com/.cnt", "http://moteleslagaviota.com/.cnt")</f>
        <v>http://moteleslagaviota.com/.cnt</v>
      </c>
      <c r="B165" t="s">
        <v>5</v>
      </c>
      <c r="C165" t="str">
        <f>HYPERLINK("https://www.reddit.com/r/opendirectories/comments/d1t57e", "Some interesting stuff. cheats, torrents, file converters, etc.")</f>
        <v>Some interesting stuff. cheats, torrents, file converters, etc.</v>
      </c>
      <c r="D165" t="s">
        <v>122</v>
      </c>
    </row>
    <row r="166" spans="1:5" x14ac:dyDescent="0.2">
      <c r="A166" t="str">
        <f>HYPERLINK("http://ma-graph.org/dumps", "http://ma-graph.org/dumps")</f>
        <v>http://ma-graph.org/dumps</v>
      </c>
      <c r="B166" t="s">
        <v>5</v>
      </c>
      <c r="C166" t="str">
        <f>HYPERLINK("https://www.reddit.com/r/opendirectories/comments/cve2kv", "Microsoft Academic Knowledge Graph")</f>
        <v>Microsoft Academic Knowledge Graph</v>
      </c>
      <c r="D166" t="s">
        <v>123</v>
      </c>
    </row>
    <row r="167" spans="1:5" x14ac:dyDescent="0.2">
      <c r="A167" t="str">
        <f>HYPERLINK("http://maps.mapywig.org/m", "http://maps.mapywig.org/m")</f>
        <v>http://maps.mapywig.org/m</v>
      </c>
      <c r="B167" t="s">
        <v>5</v>
      </c>
      <c r="C167" t="str">
        <f>HYPERLINK("https://www.reddit.com/r/opendirectories/comments/crygri", "OD with some european maps (mostly WWII)")</f>
        <v>OD with some european maps (mostly WWII)</v>
      </c>
      <c r="D167" t="s">
        <v>124</v>
      </c>
    </row>
    <row r="168" spans="1:5" x14ac:dyDescent="0.2">
      <c r="A168" t="str">
        <f>HYPERLINK("http://www.williamflew.com/authors.html", "http://www.williamflew.com/authors.html")</f>
        <v>http://www.williamflew.com/authors.html</v>
      </c>
      <c r="B168" t="s">
        <v>5</v>
      </c>
      <c r="C168" t="str">
        <f>HYPERLINK("https://www.reddit.com/r/opendirectories/comments/cfewdh", "William Flew Index of Omni Magazine SF Short Stories by Author")</f>
        <v>William Flew Index of Omni Magazine SF Short Stories by Author</v>
      </c>
      <c r="D168" t="s">
        <v>125</v>
      </c>
    </row>
    <row r="169" spans="1:5" x14ac:dyDescent="0.2">
      <c r="A169" t="str">
        <f>HYPERLINK("https://www.mallxs.nl/Hardware", "https://www.mallxs.nl/Hardware")</f>
        <v>https://www.mallxs.nl/Hardware</v>
      </c>
      <c r="B169" t="s">
        <v>5</v>
      </c>
      <c r="C169" t="str">
        <f>HYPERLINK("https://www.reddit.com/r/opendirectories/comments/cdhoxs", "Bunch of old obscure drivers")</f>
        <v>Bunch of old obscure drivers</v>
      </c>
      <c r="D169" t="s">
        <v>126</v>
      </c>
    </row>
    <row r="170" spans="1:5" x14ac:dyDescent="0.2">
      <c r="A170" t="str">
        <f>HYPERLINK("https://www.geneseo.edu/~forlang/LanguageCDs", "https://www.geneseo.edu/~forlang/LanguageCDs")</f>
        <v>https://www.geneseo.edu/~forlang/LanguageCDs</v>
      </c>
      <c r="B170" t="s">
        <v>5</v>
      </c>
      <c r="C170" t="str">
        <f>HYPERLINK("https://www.reddit.com/r/opendirectories/comments/c6s52m", "Japanese, French, Italian, Russian, and Spanish Language learning materials")</f>
        <v>Japanese, French, Italian, Russian, and Spanish Language learning materials</v>
      </c>
      <c r="D170" t="s">
        <v>127</v>
      </c>
      <c r="E170" t="s">
        <v>128</v>
      </c>
    </row>
    <row r="171" spans="1:5" x14ac:dyDescent="0.2">
      <c r="A171" t="str">
        <f>HYPERLINK("http://62.152.55.238", "http://62.152.55.238")</f>
        <v>http://62.152.55.238</v>
      </c>
      <c r="B171" t="s">
        <v>5</v>
      </c>
      <c r="C171" t="str">
        <f>HYPERLINK("https://www.reddit.com/r/opendirectories/comments/bxv0xv", "Don't forget to calibrate the transitory particle interceptor, or you could wind up with an unwelcome subharmonic oscillation.")</f>
        <v>Don't forget to calibrate the transitory particle interceptor, or you could wind up with an unwelcome subharmonic oscillation.</v>
      </c>
      <c r="D171" t="s">
        <v>129</v>
      </c>
    </row>
    <row r="172" spans="1:5" x14ac:dyDescent="0.2">
      <c r="A172" t="str">
        <f>HYPERLINK("https://fusion.tvaddons.co", "https://fusion.tvaddons.co")</f>
        <v>https://fusion.tvaddons.co</v>
      </c>
      <c r="B172" t="s">
        <v>5</v>
      </c>
      <c r="C172" t="str">
        <f>HYPERLINK("https://www.reddit.com/r/opendirectories/comments/bocfd1", "Kodi Plugins and Repos")</f>
        <v>Kodi Plugins and Repos</v>
      </c>
      <c r="D172" t="s">
        <v>130</v>
      </c>
    </row>
    <row r="173" spans="1:5" x14ac:dyDescent="0.2">
      <c r="A173" t="str">
        <f>HYPERLINK("https://www.postbelief.org/alan-watts-out-of-your-mind", "https://www.postbelief.org/alan-watts-out-of-your-mind")</f>
        <v>https://www.postbelief.org/alan-watts-out-of-your-mind</v>
      </c>
      <c r="B173" t="s">
        <v>5</v>
      </c>
      <c r="C173" t="str">
        <f>HYPERLINK("https://www.reddit.com/r/opendirectories/comments/bjkm2u", "About 18 hours of my favorite guru, Alan Watts.")</f>
        <v>About 18 hours of my favorite guru, Alan Watts.</v>
      </c>
      <c r="D173" t="s">
        <v>131</v>
      </c>
    </row>
    <row r="174" spans="1:5" x14ac:dyDescent="0.2">
      <c r="A174" t="str">
        <f>HYPERLINK("http://fsi.antibozo.net", "http://fsi.antibozo.net")</f>
        <v>http://fsi.antibozo.net</v>
      </c>
      <c r="B174" t="s">
        <v>5</v>
      </c>
      <c r="C174" t="str">
        <f>HYPERLINK("https://www.reddit.com/r/opendirectories/comments/bi5flv", "Tons of language learning material")</f>
        <v>Tons of language learning material</v>
      </c>
      <c r="D174" t="s">
        <v>132</v>
      </c>
    </row>
    <row r="175" spans="1:5" x14ac:dyDescent="0.2">
      <c r="A175" t="str">
        <f>HYPERLINK("https://dl4.win2farsi.com", "https://dl4.win2farsi.com")</f>
        <v>https://dl4.win2farsi.com</v>
      </c>
      <c r="B175" t="s">
        <v>5</v>
      </c>
      <c r="C175" t="str">
        <f>HYPERLINK("https://www.reddit.com/r/opendirectories/comments/bdf3ze", "GENERAL")</f>
        <v>GENERAL</v>
      </c>
      <c r="D175" t="s">
        <v>133</v>
      </c>
    </row>
    <row r="176" spans="1:5" x14ac:dyDescent="0.2">
      <c r="A176" t="str">
        <f>HYPERLINK("http://last.hit.bme.hu/download", "http://last.hit.bme.hu/download")</f>
        <v>http://last.hit.bme.hu/download</v>
      </c>
      <c r="B176" t="s">
        <v>5</v>
      </c>
      <c r="C176" t="str">
        <f>HYPERLINK("https://www.reddit.com/r/opendirectories/comments/b2psb9", "Laboratory of Acoustics and Studio Technologies")</f>
        <v>Laboratory of Acoustics and Studio Technologies</v>
      </c>
      <c r="D176" t="s">
        <v>134</v>
      </c>
    </row>
    <row r="177" spans="1:4" x14ac:dyDescent="0.2">
      <c r="A177" t="str">
        <f>HYPERLINK("http://178.238.222.234:444", "http://178.238.222.234:444")</f>
        <v>http://178.238.222.234:444</v>
      </c>
      <c r="B177" t="s">
        <v>5</v>
      </c>
      <c r="C177" t="str">
        <f>HYPERLINK("https://www.reddit.com/r/opendirectories/comments/awbn7r", "OPEN DIR of a Google Play Store APP")</f>
        <v>OPEN DIR of a Google Play Store APP</v>
      </c>
      <c r="D177" t="s">
        <v>135</v>
      </c>
    </row>
    <row r="178" spans="1:4" x14ac:dyDescent="0.2">
      <c r="A178" t="str">
        <f>HYPERLINK("http://www.oneworlddigitalsolutions.tv", "http://www.oneworlddigitalsolutions.tv")</f>
        <v>http://www.oneworlddigitalsolutions.tv</v>
      </c>
      <c r="B178" t="s">
        <v>5</v>
      </c>
      <c r="C178" t="str">
        <f>HYPERLINK("https://www.reddit.com/r/opendirectories/comments/avlub4", "Some Romsets")</f>
        <v>Some Romsets</v>
      </c>
      <c r="D178" t="s">
        <v>136</v>
      </c>
    </row>
    <row r="179" spans="1:4" x14ac:dyDescent="0.2">
      <c r="A179" t="str">
        <f>HYPERLINK("http://mirrorservice.org", "http://mirrorservice.org")</f>
        <v>http://mirrorservice.org</v>
      </c>
      <c r="B179" t="s">
        <v>5</v>
      </c>
      <c r="C179" t="str">
        <f>HYPERLINK("https://www.reddit.com/r/opendirectories/comments/auwcir", "Mirror sites")</f>
        <v>Mirror sites</v>
      </c>
      <c r="D179" t="s">
        <v>137</v>
      </c>
    </row>
    <row r="180" spans="1:4" x14ac:dyDescent="0.2">
      <c r="A180" t="str">
        <f>HYPERLINK("http://planet.uwc.ac.za", "http://planet.uwc.ac.za")</f>
        <v>http://planet.uwc.ac.za</v>
      </c>
      <c r="B180" t="s">
        <v>5</v>
      </c>
      <c r="C180" t="str">
        <f>HYPERLINK("https://www.reddit.com/r/opendirectories/comments/au6tx6", "Ecological GIS Research -- There's a lot of good geoinformatics")</f>
        <v>Ecological GIS Research -- There's a lot of good geoinformatics</v>
      </c>
      <c r="D180" t="s">
        <v>138</v>
      </c>
    </row>
    <row r="181" spans="1:4" x14ac:dyDescent="0.2">
      <c r="A181" t="str">
        <f>HYPERLINK("http://federaljack.com/policestate", "http://federaljack.com/policestate")</f>
        <v>http://federaljack.com/policestate</v>
      </c>
      <c r="B181" t="s">
        <v>5</v>
      </c>
      <c r="C181" t="str">
        <f>HYPERLINK("https://www.reddit.com/r/opendirectories/comments/aokfy6", "Random conspiracy theory directory")</f>
        <v>Random conspiracy theory directory</v>
      </c>
      <c r="D181" t="s">
        <v>139</v>
      </c>
    </row>
    <row r="182" spans="1:4" x14ac:dyDescent="0.2">
      <c r="A182" t="str">
        <f>HYPERLINK("http://raspbian.raspberrypi.org", "http://raspbian.raspberrypi.org")</f>
        <v>http://raspbian.raspberrypi.org</v>
      </c>
      <c r="B182" t="s">
        <v>5</v>
      </c>
      <c r="C182" t="str">
        <f>HYPERLINK("https://www.reddit.com/r/opendirectories/comments/ancmzh", "Raspberrypi.org")</f>
        <v>Raspberrypi.org</v>
      </c>
      <c r="D182" t="s">
        <v>140</v>
      </c>
    </row>
    <row r="183" spans="1:4" x14ac:dyDescent="0.2">
      <c r="A183" t="str">
        <f>HYPERLINK("http://datasheets.chipdb.org", "http://datasheets.chipdb.org")</f>
        <v>http://datasheets.chipdb.org</v>
      </c>
      <c r="B183" t="s">
        <v>5</v>
      </c>
      <c r="C183" t="str">
        <f>HYPERLINK("https://www.reddit.com/r/opendirectories/comments/am8mkg", "Datasheet of chipsets of several brands")</f>
        <v>Datasheet of chipsets of several brands</v>
      </c>
      <c r="D183" t="s">
        <v>141</v>
      </c>
    </row>
    <row r="184" spans="1:4" x14ac:dyDescent="0.2">
      <c r="A184" t="str">
        <f>HYPERLINK("http://hemingway.softwarelivre.org/ttsoares", "http://hemingway.softwarelivre.org/ttsoares")</f>
        <v>http://hemingway.softwarelivre.org/ttsoares</v>
      </c>
      <c r="B184" t="s">
        <v>5</v>
      </c>
      <c r="C184" t="str">
        <f>HYPERLINK("https://www.reddit.com/r/opendirectories/comments/ak7z6i", "ok i know everyone is interested in free energy and electronics. so without further ado....")</f>
        <v>ok i know everyone is interested in free energy and electronics. so without further ado....</v>
      </c>
      <c r="D184" t="s">
        <v>142</v>
      </c>
    </row>
    <row r="185" spans="1:4" x14ac:dyDescent="0.2">
      <c r="A185" t="str">
        <f>HYPERLINK("http://challenger.phil21.net", "http://challenger.phil21.net")</f>
        <v>http://challenger.phil21.net</v>
      </c>
      <c r="B185" t="s">
        <v>5</v>
      </c>
      <c r="C185" t="str">
        <f>HYPERLINK("https://www.reddit.com/r/opendirectories/comments/ajsru7", "test")</f>
        <v>test</v>
      </c>
      <c r="D185" t="s">
        <v>143</v>
      </c>
    </row>
    <row r="186" spans="1:4" x14ac:dyDescent="0.2">
      <c r="A186" t="str">
        <f>HYPERLINK("http://sten.planet.ee/mi", "http://sten.planet.ee/mi")</f>
        <v>http://sten.planet.ee/mi</v>
      </c>
      <c r="B186" t="s">
        <v>5</v>
      </c>
      <c r="C186" t="str">
        <f>HYPERLINK("https://www.reddit.com/r/opendirectories/comments/ajse3w", "test")</f>
        <v>test</v>
      </c>
      <c r="D186" t="s">
        <v>143</v>
      </c>
    </row>
    <row r="187" spans="1:4" x14ac:dyDescent="0.2">
      <c r="A187" t="str">
        <f>HYPERLINK("https://phet.colorado.edu", "https://phet.colorado.edu")</f>
        <v>https://phet.colorado.edu</v>
      </c>
      <c r="B187" t="s">
        <v>5</v>
      </c>
      <c r="C187" t="str">
        <f>HYPERLINK("https://www.reddit.com/r/opendirectories/comments/aj3gql", "PhET Simulations [.jar educational simulations]")</f>
        <v>PhET Simulations [.jar educational simulations]</v>
      </c>
      <c r="D187" t="s">
        <v>144</v>
      </c>
    </row>
    <row r="188" spans="1:4" x14ac:dyDescent="0.2">
      <c r="A188" t="str">
        <f>HYPERLINK("http://www.waltercosand.com/CosandScores/Composers%20E-K", "http://www.waltercosand.com/CosandScores/Composers%20E-K")</f>
        <v>http://www.waltercosand.com/CosandScores/Composers%20E-K</v>
      </c>
      <c r="B188" t="s">
        <v>5</v>
      </c>
      <c r="C188" t="str">
        <f>HYPERLINK("https://www.reddit.com/r/opendirectories/comments/ait3uk", "scores")</f>
        <v>scores</v>
      </c>
      <c r="D188" t="s">
        <v>144</v>
      </c>
    </row>
    <row r="189" spans="1:4" x14ac:dyDescent="0.2">
      <c r="A189" t="str">
        <f>HYPERLINK("https://storage.inukami.ru", "https://storage.inukami.ru")</f>
        <v>https://storage.inukami.ru</v>
      </c>
      <c r="B189" t="s">
        <v>5</v>
      </c>
      <c r="C189" t="str">
        <f>HYPERLINK("https://www.reddit.com/r/opendirectories/comments/aievh1", "test")</f>
        <v>test</v>
      </c>
      <c r="D189" t="s">
        <v>145</v>
      </c>
    </row>
    <row r="190" spans="1:4" x14ac:dyDescent="0.2">
      <c r="A190" t="str">
        <f>HYPERLINK("http://www.jogimods.com/downloads", "http://www.jogimods.com/downloads")</f>
        <v>http://www.jogimods.com/downloads</v>
      </c>
      <c r="B190" t="s">
        <v>5</v>
      </c>
      <c r="C190" t="str">
        <f>HYPERLINK("https://www.reddit.com/r/opendirectories/comments/afw58q", "Some console modding files and utilities")</f>
        <v>Some console modding files and utilities</v>
      </c>
      <c r="D190" t="s">
        <v>146</v>
      </c>
    </row>
    <row r="191" spans="1:4" x14ac:dyDescent="0.2">
      <c r="A191" t="str">
        <f>HYPERLINK("http://www.tinglado.net/tic", "http://www.tinglado.net/tic")</f>
        <v>http://www.tinglado.net/tic</v>
      </c>
      <c r="B191" t="s">
        <v>5</v>
      </c>
      <c r="C191" t="str">
        <f>HYPERLINK("https://www.reddit.com/r/opendirectories/comments/add880", "I never have good names for my posts")</f>
        <v>I never have good names for my posts</v>
      </c>
      <c r="D191" t="s">
        <v>147</v>
      </c>
    </row>
    <row r="192" spans="1:4" x14ac:dyDescent="0.2">
      <c r="A192" t="str">
        <f>HYPERLINK("http://www.bbenderguitars.com/mp3", "http://www.bbenderguitars.com/mp3")</f>
        <v>http://www.bbenderguitars.com/mp3</v>
      </c>
      <c r="B192" t="s">
        <v>5</v>
      </c>
      <c r="C192" t="str">
        <f>HYPERLINK("https://www.reddit.com/r/opendirectories/comments/achjzk", "more bluegrass. (Clarence white, Kentucky colonels)")</f>
        <v>more bluegrass. (Clarence white, Kentucky colonels)</v>
      </c>
      <c r="D192" t="s">
        <v>148</v>
      </c>
    </row>
    <row r="193" spans="1:5" x14ac:dyDescent="0.2">
      <c r="A193" t="str">
        <f>HYPERLINK("http://cdn.media.ccc.de", "http://cdn.media.ccc.de")</f>
        <v>http://cdn.media.ccc.de</v>
      </c>
      <c r="B193" t="s">
        <v>5</v>
      </c>
      <c r="C193" t="str">
        <f>HYPERLINK("https://www.reddit.com/r/opendirectories/comments/ab3kbo", "Recordings from CCC 35C3 (2018) infosec conference. Great infosec content.")</f>
        <v>Recordings from CCC 35C3 (2018) infosec conference. Great infosec content.</v>
      </c>
      <c r="D193" t="s">
        <v>149</v>
      </c>
    </row>
    <row r="194" spans="1:5" x14ac:dyDescent="0.2">
      <c r="A194" t="str">
        <f>HYPERLINK("http://www.hope4tampa.info/public", "http://www.hope4tampa.info/public")</f>
        <v>http://www.hope4tampa.info/public</v>
      </c>
      <c r="B194" t="s">
        <v>5</v>
      </c>
      <c r="C194" t="str">
        <f>HYPERLINK("https://www.reddit.com/r/opendirectories/comments/a9dwcz", "Merry Christmas Peeps")</f>
        <v>Merry Christmas Peeps</v>
      </c>
      <c r="D194" t="s">
        <v>150</v>
      </c>
    </row>
    <row r="195" spans="1:5" x14ac:dyDescent="0.2">
      <c r="A195" t="str">
        <f>HYPERLINK("http://93beast.fea.st", "http://93beast.fea.st")</f>
        <v>http://93beast.fea.st</v>
      </c>
      <c r="B195" t="s">
        <v>5</v>
      </c>
      <c r="C195" t="str">
        <f>HYPERLINK("https://www.reddit.com/r/opendirectories/comments/a93ra5", "If you're into the Golden Dawn")</f>
        <v>If you're into the Golden Dawn</v>
      </c>
      <c r="D195" t="s">
        <v>151</v>
      </c>
    </row>
    <row r="196" spans="1:5" x14ac:dyDescent="0.2">
      <c r="A196" t="str">
        <f>HYPERLINK("https://cran.r-project.org/src", "https://cran.r-project.org/src")</f>
        <v>https://cran.r-project.org/src</v>
      </c>
      <c r="B196" t="s">
        <v>5</v>
      </c>
      <c r="C196" t="str">
        <f>HYPERLINK("https://www.reddit.com/r/opendirectories/comments/a7tcmk", "Not really sure what it is but there's a lot")</f>
        <v>Not really sure what it is but there's a lot</v>
      </c>
      <c r="D196" t="s">
        <v>152</v>
      </c>
    </row>
    <row r="197" spans="1:5" x14ac:dyDescent="0.2">
      <c r="A197" t="str">
        <f>HYPERLINK("http://www.bentrem.sycks.net/75thr/music", "http://www.bentrem.sycks.net/75thr/music")</f>
        <v>http://www.bentrem.sycks.net/75thr/music</v>
      </c>
      <c r="B197" t="s">
        <v>5</v>
      </c>
      <c r="C197" t="str">
        <f>HYPERLINK("https://www.reddit.com/r/opendirectories/comments/a5mh4h", "another bunch of mp3s")</f>
        <v>another bunch of mp3s</v>
      </c>
      <c r="D197" t="s">
        <v>153</v>
      </c>
    </row>
    <row r="198" spans="1:5" x14ac:dyDescent="0.2">
      <c r="A198" t="str">
        <f>HYPERLINK("https://legalsecurityforum.com/wp-content/uploads", "https://legalsecurityforum.com/wp-content/uploads")</f>
        <v>https://legalsecurityforum.com/wp-content/uploads</v>
      </c>
      <c r="B198" t="s">
        <v>5</v>
      </c>
      <c r="C198" t="str">
        <f>HYPERLINK("https://www.reddit.com/r/opendirectories/comments/9qjf6e", "Amusingly this is a site concerned with keeping legal data secure")</f>
        <v>Amusingly this is a site concerned with keeping legal data secure</v>
      </c>
      <c r="D198" t="s">
        <v>154</v>
      </c>
    </row>
    <row r="199" spans="1:5" x14ac:dyDescent="0.2">
      <c r="A199" t="str">
        <f>HYPERLINK("http://zaloopa.slonique.net", "http://zaloopa.slonique.net")</f>
        <v>http://zaloopa.slonique.net</v>
      </c>
      <c r="B199" t="s">
        <v>5</v>
      </c>
      <c r="C199" t="str">
        <f>HYPERLINK("https://www.reddit.com/r/opendirectories/comments/54faqm", "508 rare pepes")</f>
        <v>508 rare pepes</v>
      </c>
      <c r="D199" t="s">
        <v>155</v>
      </c>
      <c r="E199" t="s">
        <v>156</v>
      </c>
    </row>
    <row r="200" spans="1:5" x14ac:dyDescent="0.2">
      <c r="A200" t="str">
        <f>HYPERLINK("http://www.ukdpc.org.uk/wp-content/uploads", "http://www.ukdpc.org.uk/wp-content/uploads")</f>
        <v>http://www.ukdpc.org.uk/wp-content/uploads</v>
      </c>
      <c r="B200" t="s">
        <v>5</v>
      </c>
      <c r="C200" t="str">
        <f>HYPERLINK("https://www.reddit.com/r/opendirectories/comments/9i5ll5", "Content from the UK Drugs Policy Commission (which is no longer active)")</f>
        <v>Content from the UK Drugs Policy Commission (which is no longer active)</v>
      </c>
      <c r="D200" t="s">
        <v>37</v>
      </c>
    </row>
    <row r="201" spans="1:5" x14ac:dyDescent="0.2">
      <c r="A201" t="str">
        <f>HYPERLINK("https://ftp.ncbi.nih.gov", "https://ftp.ncbi.nih.gov")</f>
        <v>https://ftp.ncbi.nih.gov</v>
      </c>
      <c r="B201" t="s">
        <v>5</v>
      </c>
      <c r="C201" t="str">
        <f>HYPERLINK("https://www.reddit.com/r/opendirectories/comments/9fmbth", "Test")</f>
        <v>Test</v>
      </c>
      <c r="D201" t="s">
        <v>157</v>
      </c>
    </row>
    <row r="202" spans="1:5" x14ac:dyDescent="0.2">
      <c r="A202" t="str">
        <f>HYPERLINK("https://live.sysinternals.com", "https://live.sysinternals.com")</f>
        <v>https://live.sysinternals.com</v>
      </c>
      <c r="B202" t="s">
        <v>5</v>
      </c>
      <c r="C202" t="str">
        <f>HYPERLINK("https://www.reddit.com/r/opendirectories/comments/99msnc", "SysIntenals by Microsoft Open Share")</f>
        <v>SysIntenals by Microsoft Open Share</v>
      </c>
      <c r="D202" t="s">
        <v>158</v>
      </c>
    </row>
    <row r="203" spans="1:5" x14ac:dyDescent="0.2">
      <c r="A203" t="str">
        <f>HYPERLINK("http://www.storm-t.iag.usp.br/pub", "http://www.storm-t.iag.usp.br/pub")</f>
        <v>http://www.storm-t.iag.usp.br/pub</v>
      </c>
      <c r="B203" t="s">
        <v>5</v>
      </c>
      <c r="C203" t="str">
        <f>HYPERLINK("https://www.reddit.com/r/opendirectories/comments/976zvn", "Weather laboratory data")</f>
        <v>Weather laboratory data</v>
      </c>
      <c r="D203" t="s">
        <v>159</v>
      </c>
    </row>
    <row r="204" spans="1:5" x14ac:dyDescent="0.2">
      <c r="A204" t="str">
        <f>HYPERLINK("http://cetv2.ddns.net/archiv", "http://cetv2.ddns.net/archiv")</f>
        <v>http://cetv2.ddns.net/archiv</v>
      </c>
      <c r="B204" t="s">
        <v>5</v>
      </c>
      <c r="C204" t="str">
        <f>HYPERLINK("https://www.reddit.com/r/opendirectories/comments/951lwv", "Archive of a Slovak regional television (cetv.sk)")</f>
        <v>Archive of a Slovak regional television (cetv.sk)</v>
      </c>
      <c r="D204" t="s">
        <v>160</v>
      </c>
    </row>
    <row r="205" spans="1:5" x14ac:dyDescent="0.2">
      <c r="A205" t="str">
        <f>HYPERLINK("http://ftp.win2win.ru:8080/Digital", "http://ftp.win2win.ru:8080/Digital")</f>
        <v>http://ftp.win2win.ru:8080/Digital</v>
      </c>
      <c r="B205" t="s">
        <v>5</v>
      </c>
      <c r="C205" t="str">
        <f>HYPERLINK("https://www.reddit.com/r/opendirectories/comments/92aktm", "FTP server for a Russian marketing/communications agency. Clients include LEGO (lots of this), Nickelodeon, Discovery and NBC")</f>
        <v>FTP server for a Russian marketing/communications agency. Clients include LEGO (lots of this), Nickelodeon, Discovery and NBC</v>
      </c>
      <c r="D205" t="s">
        <v>161</v>
      </c>
      <c r="E205" t="s">
        <v>8</v>
      </c>
    </row>
    <row r="206" spans="1:5" x14ac:dyDescent="0.2">
      <c r="A206" t="str">
        <f>HYPERLINK("https://elsmar.com/pdf_files", "https://elsmar.com/pdf_files")</f>
        <v>https://elsmar.com/pdf_files</v>
      </c>
      <c r="B206" t="s">
        <v>5</v>
      </c>
      <c r="C206" t="str">
        <f>HYPERLINK("https://www.reddit.com/r/opendirectories/comments/91sbfh", "A real hodge-podge of assorted bits. Quite diverting")</f>
        <v>A real hodge-podge of assorted bits. Quite diverting</v>
      </c>
      <c r="D206" t="s">
        <v>162</v>
      </c>
    </row>
    <row r="207" spans="1:5" x14ac:dyDescent="0.2">
      <c r="A207" t="str">
        <f>HYPERLINK("http://mirror.as29550.net", "http://mirror.as29550.net")</f>
        <v>http://mirror.as29550.net</v>
      </c>
      <c r="B207" t="s">
        <v>5</v>
      </c>
      <c r="C207" t="str">
        <f>HYPERLINK("https://www.reddit.com/r/opendirectories/comments/9056ya", "Actual Linux ISOs (Debian, Ubuntu, CentOS)")</f>
        <v>Actual Linux ISOs (Debian, Ubuntu, CentOS)</v>
      </c>
      <c r="D207" t="s">
        <v>163</v>
      </c>
    </row>
    <row r="208" spans="1:5" x14ac:dyDescent="0.2">
      <c r="A208" t="str">
        <f>HYPERLINK("http://ftp.isc.org", "http://ftp.isc.org")</f>
        <v>http://ftp.isc.org</v>
      </c>
      <c r="B208" t="s">
        <v>5</v>
      </c>
      <c r="C208" t="str">
        <f>HYPERLINK("https://www.reddit.com/r/opendirectories/comments/6pjik2", "Internet Systems Consortium")</f>
        <v>Internet Systems Consortium</v>
      </c>
      <c r="D208" t="s">
        <v>164</v>
      </c>
    </row>
    <row r="209" spans="1:5" x14ac:dyDescent="0.2">
      <c r="A209" t="str">
        <f>HYPERLINK("http://shimoko.e-shimokita.jp", "http://shimoko.e-shimokita.jp")</f>
        <v>http://shimoko.e-shimokita.jp</v>
      </c>
      <c r="B209" t="s">
        <v>5</v>
      </c>
      <c r="C209" t="str">
        <f>HYPERLINK("https://www.reddit.com/r/opendirectories/comments/8yes1j", "I think its an OD of a Chinese firehouse?")</f>
        <v>I think its an OD of a Chinese firehouse?</v>
      </c>
      <c r="D209" t="s">
        <v>165</v>
      </c>
      <c r="E209" t="s">
        <v>61</v>
      </c>
    </row>
    <row r="210" spans="1:5" x14ac:dyDescent="0.2">
      <c r="A210" t="str">
        <f>HYPERLINK("https://unicode.org/Public", "https://unicode.org/Public")</f>
        <v>https://unicode.org/Public</v>
      </c>
      <c r="B210" t="s">
        <v>5</v>
      </c>
      <c r="C210" t="str">
        <f>HYPERLINK("https://www.reddit.com/r/opendirectories/comments/8uhqul", "Public Unicode directory.")</f>
        <v>Public Unicode directory.</v>
      </c>
      <c r="D210" t="s">
        <v>166</v>
      </c>
    </row>
    <row r="211" spans="1:5" x14ac:dyDescent="0.2">
      <c r="A211" t="str">
        <f>HYPERLINK("https://cdaweb.sci.gsfc.nasa.gov/pub", "https://cdaweb.sci.gsfc.nasa.gov/pub")</f>
        <v>https://cdaweb.sci.gsfc.nasa.gov/pub</v>
      </c>
      <c r="B211" t="s">
        <v>5</v>
      </c>
      <c r="C211" t="str">
        <f>HYPERLINK("https://www.reddit.com/r/opendirectories/comments/8rsv44", "NASA stuff, datasets, maybe more")</f>
        <v>NASA stuff, datasets, maybe more</v>
      </c>
      <c r="D211" t="s">
        <v>167</v>
      </c>
    </row>
    <row r="212" spans="1:5" x14ac:dyDescent="0.2">
      <c r="A212" t="str">
        <f>HYPERLINK("http://nekit.tk/files", "http://nekit.tk/files")</f>
        <v>http://nekit.tk/files</v>
      </c>
      <c r="B212" t="s">
        <v>5</v>
      </c>
      <c r="C212" t="str">
        <f>HYPERLINK("https://www.reddit.com/r/opendirectories/comments/8p6q96", "Misc Random Stuff")</f>
        <v>Misc Random Stuff</v>
      </c>
      <c r="D212" t="s">
        <v>168</v>
      </c>
    </row>
    <row r="213" spans="1:5" x14ac:dyDescent="0.2">
      <c r="A213" t="str">
        <f>HYPERLINK("http://static.allfearthesentinel.net", "http://static.allfearthesentinel.net")</f>
        <v>http://static.allfearthesentinel.net</v>
      </c>
      <c r="B213" t="s">
        <v>5</v>
      </c>
      <c r="C213" t="str">
        <f>HYPERLINK("https://www.reddit.com/r/opendirectories/comments/8mvjer", "MASSIVE directory of DOOM wad/pk3s, mainly for more modern source ports (GZDoom, Zandronum, etc.)")</f>
        <v>MASSIVE directory of DOOM wad/pk3s, mainly for more modern source ports (GZDoom, Zandronum, etc.)</v>
      </c>
      <c r="D213" t="s">
        <v>169</v>
      </c>
    </row>
    <row r="214" spans="1:5" x14ac:dyDescent="0.2">
      <c r="A214" t="str">
        <f>HYPERLINK("http://ifocserv.net", "http://ifocserv.net")</f>
        <v>http://ifocserv.net</v>
      </c>
      <c r="B214" t="s">
        <v>5</v>
      </c>
      <c r="C214" t="str">
        <f>HYPERLINK("https://www.reddit.com/r/opendirectories/comments/8mavjh", "A bunch of DooM wad files")</f>
        <v>A bunch of DooM wad files</v>
      </c>
      <c r="D214" t="s">
        <v>170</v>
      </c>
    </row>
    <row r="215" spans="1:5" x14ac:dyDescent="0.2">
      <c r="A215" t="str">
        <f>HYPERLINK("http://mirror.thelifeofkenneth.com", "http://mirror.thelifeofkenneth.com")</f>
        <v>http://mirror.thelifeofkenneth.com</v>
      </c>
      <c r="B215" t="s">
        <v>5</v>
      </c>
      <c r="C215" t="str">
        <f>HYPERLINK("https://www.reddit.com/r/opendirectories/comments/8jj063", "Hit ME Hard (It's my network, so really no need to limit download speeds)")</f>
        <v>Hit ME Hard (It's my network, so really no need to limit download speeds)</v>
      </c>
      <c r="D215" t="s">
        <v>171</v>
      </c>
    </row>
    <row r="216" spans="1:5" x14ac:dyDescent="0.2">
      <c r="A216" t="str">
        <f>HYPERLINK("http://www.wrvids.com", "http://www.wrvids.com")</f>
        <v>http://www.wrvids.com</v>
      </c>
      <c r="B216" t="s">
        <v>5</v>
      </c>
      <c r="C216" t="str">
        <f>HYPERLINK("https://www.reddit.com/r/opendirectories/comments/8c371r", "Some old Street Fighter VODS")</f>
        <v>Some old Street Fighter VODS</v>
      </c>
      <c r="D216" t="s">
        <v>172</v>
      </c>
    </row>
    <row r="217" spans="1:5" x14ac:dyDescent="0.2">
      <c r="A217" t="str">
        <f>HYPERLINK("http://www.techsmart.co.za/data", "http://www.techsmart.co.za/data")</f>
        <v>http://www.techsmart.co.za/data</v>
      </c>
      <c r="B217" t="s">
        <v>5</v>
      </c>
      <c r="C217" t="str">
        <f>HYPERLINK("https://www.reddit.com/r/opendirectories/comments/8bpixz", "Computer SA TechSmart Magazine 2014-2015")</f>
        <v>Computer SA TechSmart Magazine 2014-2015</v>
      </c>
      <c r="D217" t="s">
        <v>173</v>
      </c>
    </row>
    <row r="218" spans="1:5" x14ac:dyDescent="0.2">
      <c r="A218" t="str">
        <f>HYPERLINK("http://www.cheavens.com/webcam", "http://www.cheavens.com/webcam")</f>
        <v>http://www.cheavens.com/webcam</v>
      </c>
      <c r="B218" t="s">
        <v>5</v>
      </c>
      <c r="C218" t="str">
        <f>HYPERLINK("https://www.reddit.com/r/opendirectories/comments/838uor", "Got a webcam fetish?")</f>
        <v>Got a webcam fetish?</v>
      </c>
      <c r="D218" t="s">
        <v>174</v>
      </c>
    </row>
    <row r="219" spans="1:5" x14ac:dyDescent="0.2">
      <c r="A219" t="str">
        <f>HYPERLINK("http://www.foundsf.org/images", "http://www.foundsf.org/images")</f>
        <v>http://www.foundsf.org/images</v>
      </c>
      <c r="B219" t="s">
        <v>5</v>
      </c>
      <c r="C219" t="str">
        <f>HYPERLINK("https://www.reddit.com/r/opendirectories/comments/821ucg", "Frisco in pics (Archives pics)")</f>
        <v>Frisco in pics (Archives pics)</v>
      </c>
      <c r="D219" t="s">
        <v>175</v>
      </c>
    </row>
    <row r="220" spans="1:5" x14ac:dyDescent="0.2">
      <c r="A220" t="str">
        <f>HYPERLINK("https://www.worldscapeblitz.com/pics", "https://www.worldscapeblitz.com/pics")</f>
        <v>https://www.worldscapeblitz.com/pics</v>
      </c>
      <c r="B220" t="s">
        <v>5</v>
      </c>
      <c r="C220" t="str">
        <f>HYPERLINK("https://www.reddit.com/r/opendirectories/comments/7w5trh", "You are a....")</f>
        <v>You are a....</v>
      </c>
      <c r="D220" t="s">
        <v>176</v>
      </c>
    </row>
    <row r="221" spans="1:5" x14ac:dyDescent="0.2">
      <c r="A221" t="str">
        <f>HYPERLINK("https://thefpl.us/podcasts", "https://thefpl.us/podcasts")</f>
        <v>https://thefpl.us/podcasts</v>
      </c>
      <c r="B221" t="s">
        <v>5</v>
      </c>
      <c r="C221" t="str">
        <f>HYPERLINK("https://www.reddit.com/r/opendirectories/comments/7n7vee", "Every single episode of the F+ podcast")</f>
        <v>Every single episode of the F+ podcast</v>
      </c>
      <c r="D221" t="s">
        <v>177</v>
      </c>
    </row>
    <row r="222" spans="1:5" x14ac:dyDescent="0.2">
      <c r="A222" t="str">
        <f>HYPERLINK("http://diyhpl.us/~bryan/irc/bitcoin-satoshi", "http://diyhpl.us/~bryan/irc/bitcoin-satoshi")</f>
        <v>http://diyhpl.us/~bryan/irc/bitcoin-satoshi</v>
      </c>
      <c r="B222" t="s">
        <v>5</v>
      </c>
      <c r="C222" t="str">
        <f>HYPERLINK("https://www.reddit.com/r/opendirectories/comments/7n0kqi", "Satoshi nakamoto emails.")</f>
        <v>Satoshi nakamoto emails.</v>
      </c>
      <c r="D222" t="s">
        <v>178</v>
      </c>
    </row>
    <row r="223" spans="1:5" x14ac:dyDescent="0.2">
      <c r="A223" t="str">
        <f>HYPERLINK("https://node.zeneval.com/ebooks", "https://node.zeneval.com/ebooks")</f>
        <v>https://node.zeneval.com/ebooks</v>
      </c>
      <c r="B223" t="s">
        <v>5</v>
      </c>
      <c r="C223" t="str">
        <f>HYPERLINK("https://www.reddit.com/r/opendirectories/comments/7j47u4", "Nice library")</f>
        <v>Nice library</v>
      </c>
      <c r="D223" t="s">
        <v>179</v>
      </c>
    </row>
    <row r="224" spans="1:5" x14ac:dyDescent="0.2">
      <c r="A224" t="str">
        <f>HYPERLINK("http://chaos.seisat.su", "http://chaos.seisat.su")</f>
        <v>http://chaos.seisat.su</v>
      </c>
      <c r="B224" t="s">
        <v>5</v>
      </c>
      <c r="C224" t="str">
        <f>HYPERLINK("https://www.reddit.com/r/opendirectories/comments/7imjlv", "Satan's library")</f>
        <v>Satan's library</v>
      </c>
      <c r="D224" t="s">
        <v>180</v>
      </c>
    </row>
    <row r="225" spans="1:5" x14ac:dyDescent="0.2">
      <c r="A225" t="str">
        <f>HYPERLINK("http://illuminati-bg.bg/whats-new", "http://illuminati-bg.bg/whats-new")</f>
        <v>http://illuminati-bg.bg/whats-new</v>
      </c>
      <c r="B225" t="s">
        <v>5</v>
      </c>
      <c r="C225" t="str">
        <f>HYPERLINK("https://www.reddit.com/r/opendirectories/comments/7iafio", "Wierd vatican, illuminati,NWO, conspiracy theories Library")</f>
        <v>Wierd vatican, illuminati,NWO, conspiracy theories Library</v>
      </c>
      <c r="D225" t="s">
        <v>181</v>
      </c>
    </row>
    <row r="226" spans="1:5" x14ac:dyDescent="0.2">
      <c r="A226" t="str">
        <f>HYPERLINK("http://nextraterrestrial.com/pdf", "http://nextraterrestrial.com/pdf")</f>
        <v>http://nextraterrestrial.com/pdf</v>
      </c>
      <c r="B226" t="s">
        <v>5</v>
      </c>
      <c r="C226" t="str">
        <f>HYPERLINK("https://www.reddit.com/r/opendirectories/comments/7hxew5", "Weird, weird, weird. I spoke to Conspiracy about this a while back but figured I'd share here too.")</f>
        <v>Weird, weird, weird. I spoke to Conspiracy about this a while back but figured I'd share here too.</v>
      </c>
      <c r="D226" t="s">
        <v>182</v>
      </c>
    </row>
    <row r="227" spans="1:5" x14ac:dyDescent="0.2">
      <c r="A227" t="str">
        <f>HYPERLINK("http://nubierocce.it/content", "http://nubierocce.it/content")</f>
        <v>http://nubierocce.it/content</v>
      </c>
      <c r="B227" t="s">
        <v>5</v>
      </c>
      <c r="C227" t="str">
        <f>HYPERLINK("https://www.reddit.com/r/opendirectories/comments/7g6dwl", "Italian Photographers Work")</f>
        <v>Italian Photographers Work</v>
      </c>
      <c r="D227" t="s">
        <v>183</v>
      </c>
      <c r="E227" t="s">
        <v>184</v>
      </c>
    </row>
    <row r="228" spans="1:5" x14ac:dyDescent="0.2">
      <c r="A228" t="str">
        <f>HYPERLINK("https://ftp.gwdg.de", "https://ftp.gwdg.de")</f>
        <v>https://ftp.gwdg.de</v>
      </c>
      <c r="B228" t="s">
        <v>5</v>
      </c>
      <c r="C228" t="str">
        <f>HYPERLINK("https://www.reddit.com/r/opendirectories/comments/7f0ww9", "FTP Service of the Society for Scientific Data Processing in Germany")</f>
        <v>FTP Service of the Society for Scientific Data Processing in Germany</v>
      </c>
      <c r="D228" t="s">
        <v>185</v>
      </c>
      <c r="E228" t="s">
        <v>186</v>
      </c>
    </row>
    <row r="229" spans="1:5" x14ac:dyDescent="0.2">
      <c r="A229" t="str">
        <f>HYPERLINK("http://downloads.raspberrypi.org", "http://downloads.raspberrypi.org")</f>
        <v>http://downloads.raspberrypi.org</v>
      </c>
      <c r="B229" t="s">
        <v>5</v>
      </c>
      <c r="C229" t="str">
        <f>HYPERLINK("https://www.reddit.com/r/opendirectories/comments/7deohr", "Raspberry Pi's download server. All the Pi stuff you could ever need!")</f>
        <v>Raspberry Pi's download server. All the Pi stuff you could ever need!</v>
      </c>
      <c r="D229" t="s">
        <v>187</v>
      </c>
    </row>
    <row r="230" spans="1:5" x14ac:dyDescent="0.2">
      <c r="A230" t="str">
        <f>HYPERLINK("http://www.palmiyefood.com.tr/images/kek", "http://www.palmiyefood.com.tr/images/kek")</f>
        <v>http://www.palmiyefood.com.tr/images/kek</v>
      </c>
      <c r="B230" t="s">
        <v>5</v>
      </c>
      <c r="C230" t="str">
        <f>HYPERLINK("https://www.reddit.com/r/opendirectories/comments/72z0c4", "A small directory of kek")</f>
        <v>A small directory of kek</v>
      </c>
      <c r="D230" t="s">
        <v>188</v>
      </c>
    </row>
    <row r="231" spans="1:5" x14ac:dyDescent="0.2">
      <c r="A231" t="str">
        <f>HYPERLINK("https://cdn.media.ccc.de", "https://cdn.media.ccc.de")</f>
        <v>https://cdn.media.ccc.de</v>
      </c>
      <c r="B231" t="s">
        <v>5</v>
      </c>
      <c r="C231" t="str">
        <f>HYPERLINK("https://www.reddit.com/r/opendirectories/comments/71jsi9", "Is this the Chaos Computer Club?")</f>
        <v>Is this the Chaos Computer Club?</v>
      </c>
      <c r="D231" t="s">
        <v>189</v>
      </c>
    </row>
    <row r="232" spans="1:5" x14ac:dyDescent="0.2">
      <c r="A232" t="str">
        <f>HYPERLINK("http://gsec.hitb.org/materials", "http://gsec.hitb.org/materials")</f>
        <v>http://gsec.hitb.org/materials</v>
      </c>
      <c r="B232" t="s">
        <v>5</v>
      </c>
      <c r="C232" t="str">
        <f>HYPERLINK("https://www.reddit.com/r/opendirectories/comments/6wdpiw", "GSEC Security Conference Talks")</f>
        <v>GSEC Security Conference Talks</v>
      </c>
      <c r="D232" t="s">
        <v>190</v>
      </c>
    </row>
    <row r="233" spans="1:5" x14ac:dyDescent="0.2">
      <c r="A233" t="str">
        <f>HYPERLINK("http://natura.di.uminho.pt/download", "http://natura.di.uminho.pt/download")</f>
        <v>http://natura.di.uminho.pt/download</v>
      </c>
      <c r="B233" t="s">
        <v>5</v>
      </c>
      <c r="C233" t="str">
        <f>HYPERLINK("https://www.reddit.com/r/opendirectories/comments/6vp954", "Some auto-generated wordlists.")</f>
        <v>Some auto-generated wordlists.</v>
      </c>
      <c r="D233" t="s">
        <v>191</v>
      </c>
    </row>
    <row r="234" spans="1:5" x14ac:dyDescent="0.2">
      <c r="A234" t="str">
        <f>HYPERLINK("https://ftp.tugraz.at", "https://ftp.tugraz.at")</f>
        <v>https://ftp.tugraz.at</v>
      </c>
      <c r="B234" t="s">
        <v>5</v>
      </c>
      <c r="C234" t="str">
        <f>HYPERLINK("https://www.reddit.com/r/opendirectories/comments/6vnevs", "Someone at the Graz University is interested in Reddit (Other stuff in parent fodlers)")</f>
        <v>Someone at the Graz University is interested in Reddit (Other stuff in parent fodlers)</v>
      </c>
      <c r="D234" t="s">
        <v>191</v>
      </c>
    </row>
    <row r="235" spans="1:5" x14ac:dyDescent="0.2">
      <c r="A235" t="str">
        <f>HYPERLINK("http://nas.danys.ro", "http://nas.danys.ro")</f>
        <v>http://nas.danys.ro</v>
      </c>
      <c r="B235" t="s">
        <v>5</v>
      </c>
      <c r="C235" t="str">
        <f>HYPERLINK("https://www.reddit.com/r/opendirectories/comments/6sstwi", "Random stuff")</f>
        <v>Random stuff</v>
      </c>
      <c r="D235" t="s">
        <v>192</v>
      </c>
    </row>
    <row r="236" spans="1:5" x14ac:dyDescent="0.2">
      <c r="A236" t="str">
        <f>HYPERLINK("https://opendata.dwd.de", "https://opendata.dwd.de")</f>
        <v>https://opendata.dwd.de</v>
      </c>
      <c r="B236" t="s">
        <v>5</v>
      </c>
      <c r="C236" t="str">
        <f>HYPERLINK("https://www.reddit.com/r/opendirectories/comments/6rakz6", "German weather data")</f>
        <v>German weather data</v>
      </c>
      <c r="D236" t="s">
        <v>193</v>
      </c>
      <c r="E236" t="s">
        <v>186</v>
      </c>
    </row>
    <row r="237" spans="1:5" x14ac:dyDescent="0.2">
      <c r="A237" t="str">
        <f>HYPERLINK("http://users.du.se/~hjo/cs", "http://users.du.se/~hjo/cs")</f>
        <v>http://users.du.se/~hjo/cs</v>
      </c>
      <c r="B237" t="s">
        <v>5</v>
      </c>
      <c r="C237" t="str">
        <f>HYPERLINK("https://www.reddit.com/r/opendirectories/comments/6r3fce", "Digital Forensics lectures, labs, presentations, etc")</f>
        <v>Digital Forensics lectures, labs, presentations, etc</v>
      </c>
      <c r="D237" t="s">
        <v>194</v>
      </c>
    </row>
    <row r="238" spans="1:5" x14ac:dyDescent="0.2">
      <c r="A238" t="str">
        <f>HYPERLINK("http://phyphi.persiangig.com", "http://phyphi.persiangig.com")</f>
        <v>http://phyphi.persiangig.com</v>
      </c>
      <c r="B238" t="s">
        <v>5</v>
      </c>
      <c r="C238" t="str">
        <f>HYPERLINK("https://www.reddit.com/r/opendirectories/comments/6l7b6j", "A large collection of novels by Tom Clancy")</f>
        <v>A large collection of novels by Tom Clancy</v>
      </c>
      <c r="D238" t="s">
        <v>195</v>
      </c>
    </row>
    <row r="239" spans="1:5" x14ac:dyDescent="0.2">
      <c r="A239" t="str">
        <f>HYPERLINK("https://ftp.acc.umu.se", "https://ftp.acc.umu.se")</f>
        <v>https://ftp.acc.umu.se</v>
      </c>
      <c r="B239" t="s">
        <v>5</v>
      </c>
      <c r="C239" t="str">
        <f>HYPERLINK("https://www.reddit.com/r/opendirectories/comments/6j4tld", "Academic Computer Club, Umeå University")</f>
        <v>Academic Computer Club, Umeå University</v>
      </c>
      <c r="D239" t="s">
        <v>196</v>
      </c>
    </row>
    <row r="240" spans="1:5" x14ac:dyDescent="0.2">
      <c r="A240" t="str">
        <f>HYPERLINK("http://www.modelflyingnz.org/Docs", "http://www.modelflyingnz.org/Docs")</f>
        <v>http://www.modelflyingnz.org/Docs</v>
      </c>
      <c r="B240" t="s">
        <v>5</v>
      </c>
      <c r="C240" t="str">
        <f>HYPERLINK("https://www.reddit.com/r/opendirectories/comments/6gh7av", "from a model planes website")</f>
        <v>from a model planes website</v>
      </c>
      <c r="D240" t="s">
        <v>197</v>
      </c>
    </row>
    <row r="241" spans="1:4" x14ac:dyDescent="0.2">
      <c r="A241" t="str">
        <f>HYPERLINK("http://www.playurbanomp3.com/Canciones", "http://www.playurbanomp3.com/Canciones")</f>
        <v>http://www.playurbanomp3.com/Canciones</v>
      </c>
      <c r="B241" t="s">
        <v>5</v>
      </c>
      <c r="C241" t="str">
        <f>HYPERLINK("https://www.reddit.com/r/opendirectories/comments/6essho", "Index of /Daddy Yankee/")</f>
        <v>Index of /Daddy Yankee/</v>
      </c>
      <c r="D241" t="s">
        <v>198</v>
      </c>
    </row>
    <row r="242" spans="1:4" x14ac:dyDescent="0.2">
      <c r="A242" t="str">
        <f>HYPERLINK("http://www.cvltnation.com/wp-content/audio", "http://www.cvltnation.com/wp-content/audio")</f>
        <v>http://www.cvltnation.com/wp-content/audio</v>
      </c>
      <c r="B242" t="s">
        <v>5</v>
      </c>
      <c r="C242" t="str">
        <f>HYPERLINK("https://www.reddit.com/r/opendirectories/comments/6b13os", "Index of cvlt metal")</f>
        <v>Index of cvlt metal</v>
      </c>
      <c r="D242" t="s">
        <v>199</v>
      </c>
    </row>
    <row r="243" spans="1:4" x14ac:dyDescent="0.2">
      <c r="A243" t="str">
        <f>HYPERLINK("http://kireaki.com/wp-content/uploads/backup/2016/11", "http://kireaki.com/wp-content/uploads/backup/2016/11")</f>
        <v>http://kireaki.com/wp-content/uploads/backup/2016/11</v>
      </c>
      <c r="B243" t="s">
        <v>5</v>
      </c>
      <c r="C243" t="str">
        <f>HYPERLINK("https://www.reddit.com/r/opendirectories/comments/66gpx7", "Twitch/Beam Stream panels, screens, etc.")</f>
        <v>Twitch/Beam Stream panels, screens, etc.</v>
      </c>
      <c r="D243" t="s">
        <v>200</v>
      </c>
    </row>
    <row r="244" spans="1:4" x14ac:dyDescent="0.2">
      <c r="A244" t="str">
        <f>HYPERLINK("http://www.betamaster.us/hdd1", "http://www.betamaster.us/hdd1")</f>
        <v>http://www.betamaster.us/hdd1</v>
      </c>
      <c r="B244" t="s">
        <v>5</v>
      </c>
      <c r="C244" t="str">
        <f>HYPERLINK("https://www.reddit.com/r/opendirectories/comments/5m5gmi", "We're striving to offer the best quality, fastest delivery and the most competent support in the industry.")</f>
        <v>We're striving to offer the best quality, fastest delivery and the most competent support in the industry.</v>
      </c>
      <c r="D244" t="s">
        <v>201</v>
      </c>
    </row>
    <row r="245" spans="1:4" x14ac:dyDescent="0.2">
      <c r="A245" t="str">
        <f>HYPERLINK("http://mirrors.namecheap.com", "http://mirrors.namecheap.com")</f>
        <v>http://mirrors.namecheap.com</v>
      </c>
      <c r="B245" t="s">
        <v>5</v>
      </c>
      <c r="C245" t="str">
        <f>HYPERLINK("https://www.reddit.com/r/opendirectories/comments/64affn", "I have no idea what this means: Index of /ubuntu/pool/universe/k/")</f>
        <v>I have no idea what this means: Index of /ubuntu/pool/universe/k/</v>
      </c>
      <c r="D245" t="s">
        <v>202</v>
      </c>
    </row>
    <row r="246" spans="1:4" x14ac:dyDescent="0.2">
      <c r="A246" t="str">
        <f>HYPERLINK("http://linik.free.fr/ziks", "http://linik.free.fr/ziks")</f>
        <v>http://linik.free.fr/ziks</v>
      </c>
      <c r="B246" t="s">
        <v>5</v>
      </c>
      <c r="C246" t="str">
        <f>HYPERLINK("https://www.reddit.com/r/opendirectories/comments/63gsvb", "Nirvana (complete)")</f>
        <v>Nirvana (complete)</v>
      </c>
      <c r="D246" t="s">
        <v>203</v>
      </c>
    </row>
    <row r="247" spans="1:4" x14ac:dyDescent="0.2">
      <c r="A247" t="str">
        <f>HYPERLINK("https://www.ietf.org/mail-archive/text", "https://www.ietf.org/mail-archive/text")</f>
        <v>https://www.ietf.org/mail-archive/text</v>
      </c>
      <c r="B247" t="s">
        <v>5</v>
      </c>
      <c r="C247" t="str">
        <f>HYPERLINK("https://www.reddit.com/r/opendirectories/comments/5qxjg7", "IETF Mail Archives Leak ?")</f>
        <v>IETF Mail Archives Leak ?</v>
      </c>
      <c r="D247" t="s">
        <v>204</v>
      </c>
    </row>
    <row r="248" spans="1:4" x14ac:dyDescent="0.2">
      <c r="A248" t="str">
        <f>HYPERLINK("http://www.pccc.com/downloads/junk/cool", "http://www.pccc.com/downloads/junk/cool")</f>
        <v>http://www.pccc.com/downloads/junk/cool</v>
      </c>
      <c r="B248" t="s">
        <v>5</v>
      </c>
      <c r="D248" t="s">
        <v>205</v>
      </c>
    </row>
    <row r="249" spans="1:4" x14ac:dyDescent="0.2">
      <c r="A249" t="str">
        <f>HYPERLINK("http://modeltexans.com/images", "http://modeltexans.com/images")</f>
        <v>http://modeltexans.com/images</v>
      </c>
      <c r="B249" t="s">
        <v>5</v>
      </c>
      <c r="C249" t="str">
        <f>HYPERLINK("https://www.reddit.com/r/opendirectories/comments/5n0snp", "Texan Models")</f>
        <v>Texan Models</v>
      </c>
      <c r="D249" t="s">
        <v>206</v>
      </c>
    </row>
    <row r="250" spans="1:4" x14ac:dyDescent="0.2">
      <c r="A250" t="str">
        <f>HYPERLINK("http://www.bjwinslow.com/albums", "http://www.bjwinslow.com/albums")</f>
        <v>http://www.bjwinslow.com/albums</v>
      </c>
      <c r="B250" t="s">
        <v>5</v>
      </c>
      <c r="C250" t="str">
        <f>HYPERLINK("https://www.reddit.com/r/opendirectories/comments/5mm8hd", "Now here are some unusual pics...")</f>
        <v>Now here are some unusual pics...</v>
      </c>
      <c r="D250" t="s">
        <v>207</v>
      </c>
    </row>
    <row r="251" spans="1:4" x14ac:dyDescent="0.2">
      <c r="A251" t="str">
        <f>HYPERLINK("http://www.resourcesorg.co.uk/assets", "http://www.resourcesorg.co.uk/assets")</f>
        <v>http://www.resourcesorg.co.uk/assets</v>
      </c>
      <c r="B251" t="s">
        <v>5</v>
      </c>
      <c r="C251" t="str">
        <f>HYPERLINK("https://www.reddit.com/r/opendirectories/comments/5ltre8", "Wanna be healthy? Check this out!")</f>
        <v>Wanna be healthy? Check this out!</v>
      </c>
      <c r="D251" t="s">
        <v>208</v>
      </c>
    </row>
    <row r="252" spans="1:4" x14ac:dyDescent="0.2">
      <c r="A252" t="str">
        <f>HYPERLINK("http://www.sahistorians.org.au/175/bm.doc", "http://www.sahistorians.org.au/175/bm.doc")</f>
        <v>http://www.sahistorians.org.au/175/bm.doc</v>
      </c>
      <c r="B252" t="s">
        <v>5</v>
      </c>
      <c r="C252" t="str">
        <f>HYPERLINK("https://www.reddit.com/r/opendirectories/comments/5l9gn6", "GRAB a tinny to wash your chups down and get a load of this - early Australian colonial history. The last colonisation I mean.")</f>
        <v>GRAB a tinny to wash your chups down and get a load of this - early Australian colonial history. The last colonisation I mean.</v>
      </c>
      <c r="D252" t="s">
        <v>209</v>
      </c>
    </row>
    <row r="253" spans="1:4" x14ac:dyDescent="0.2">
      <c r="A253" t="str">
        <f>HYPERLINK("http://rruff.info/doclib", "http://rruff.info/doclib")</f>
        <v>http://rruff.info/doclib</v>
      </c>
      <c r="B253" t="s">
        <v>5</v>
      </c>
      <c r="C253" t="str">
        <f>HYPERLINK("https://www.reddit.com/r/opendirectories/comments/5hnnc9", "Collection of Magazines and Information about Minerals and Mineralogy")</f>
        <v>Collection of Magazines and Information about Minerals and Mineralogy</v>
      </c>
      <c r="D253" t="s">
        <v>210</v>
      </c>
    </row>
    <row r="254" spans="1:4" x14ac:dyDescent="0.2">
      <c r="A254" t="str">
        <f>HYPERLINK("http://ranger.ky9k.org:8080", "http://ranger.ky9k.org:8080")</f>
        <v>http://ranger.ky9k.org:8080</v>
      </c>
      <c r="B254" t="s">
        <v>5</v>
      </c>
      <c r="C254" t="str">
        <f>HYPERLINK("https://www.reddit.com/r/opendirectories/comments/5dwlhj", "Guardians of the Galaxy Vol 1 OST in Various Qualities")</f>
        <v>Guardians of the Galaxy Vol 1 OST in Various Qualities</v>
      </c>
      <c r="D254" t="s">
        <v>211</v>
      </c>
    </row>
    <row r="255" spans="1:4" x14ac:dyDescent="0.2">
      <c r="A255" t="str">
        <f>HYPERLINK("http://entropy.soldierx.com/~kayin/archive", "http://entropy.soldierx.com/~kayin/archive")</f>
        <v>http://entropy.soldierx.com/~kayin/archive</v>
      </c>
      <c r="B255" t="s">
        <v>5</v>
      </c>
      <c r="C255" t="str">
        <f>HYPERLINK("https://www.reddit.com/r/opendirectories/comments/5dckyk", "Lots of Hacking Tutorials from 2009-10")</f>
        <v>Lots of Hacking Tutorials from 2009-10</v>
      </c>
      <c r="D255" t="s">
        <v>212</v>
      </c>
    </row>
    <row r="256" spans="1:4" x14ac:dyDescent="0.2">
      <c r="A256" t="str">
        <f>HYPERLINK("http://archive.hack.lu", "http://archive.hack.lu")</f>
        <v>http://archive.hack.lu</v>
      </c>
      <c r="B256" t="s">
        <v>5</v>
      </c>
      <c r="C256" t="str">
        <f>HYPERLINK("https://www.reddit.com/r/opendirectories/comments/5dao7z", "Hacking Convention? Slides from 2005-16")</f>
        <v>Hacking Convention? Slides from 2005-16</v>
      </c>
      <c r="D256" t="s">
        <v>213</v>
      </c>
    </row>
    <row r="257" spans="1:5" x14ac:dyDescent="0.2">
      <c r="A257" t="str">
        <f>HYPERLINK("http://www.secs.oakland.edu/~latcha/me486", "http://www.secs.oakland.edu/~latcha/me486")</f>
        <v>http://www.secs.oakland.edu/~latcha/me486</v>
      </c>
      <c r="B257" t="s">
        <v>5</v>
      </c>
      <c r="C257" t="str">
        <f>HYPERLINK("https://www.reddit.com/r/opendirectories/comments/5by1y3", "MEEN 486: Design of Mechanical Systems-Resources")</f>
        <v>MEEN 486: Design of Mechanical Systems-Resources</v>
      </c>
      <c r="D257" t="s">
        <v>214</v>
      </c>
    </row>
    <row r="258" spans="1:5" x14ac:dyDescent="0.2">
      <c r="A258" t="str">
        <f>HYPERLINK("http://stuff.jaygroh.com/prius", "http://stuff.jaygroh.com/prius")</f>
        <v>http://stuff.jaygroh.com/prius</v>
      </c>
      <c r="B258" t="s">
        <v>5</v>
      </c>
      <c r="C258" t="str">
        <f>HYPERLINK("https://www.reddit.com/r/opendirectories/comments/5as8zr", "Prius Repair Guides")</f>
        <v>Prius Repair Guides</v>
      </c>
      <c r="D258" t="s">
        <v>215</v>
      </c>
    </row>
    <row r="259" spans="1:5" x14ac:dyDescent="0.2">
      <c r="A259" t="str">
        <f>HYPERLINK("http://www.quadronyx.org", "http://www.quadronyx.org")</f>
        <v>http://www.quadronyx.org</v>
      </c>
      <c r="B259" t="s">
        <v>5</v>
      </c>
      <c r="C259" t="str">
        <f>HYPERLINK("https://www.reddit.com/r/opendirectories/comments/5arjg8", "Mirrored Files")</f>
        <v>Mirrored Files</v>
      </c>
      <c r="D259" t="s">
        <v>215</v>
      </c>
    </row>
    <row r="260" spans="1:5" x14ac:dyDescent="0.2">
      <c r="A260" t="str">
        <f>HYPERLINK("http://lastyearsgamers.com/extra", "http://lastyearsgamers.com/extra")</f>
        <v>http://lastyearsgamers.com/extra</v>
      </c>
      <c r="B260" t="s">
        <v>5</v>
      </c>
      <c r="C260" t="str">
        <f>HYPERLINK("https://www.reddit.com/r/opendirectories/comments/55by89", "Someone's personal server??")</f>
        <v>Someone's personal server??</v>
      </c>
      <c r="D260" t="s">
        <v>216</v>
      </c>
    </row>
    <row r="261" spans="1:5" x14ac:dyDescent="0.2">
      <c r="A261" t="str">
        <f>HYPERLINK("http://www.irpinball.org/tables", "http://www.irpinball.org/tables")</f>
        <v>http://www.irpinball.org/tables</v>
      </c>
      <c r="B261" t="s">
        <v>5</v>
      </c>
      <c r="C261" t="str">
        <f>HYPERLINK("https://www.reddit.com/r/opendirectories/comments/50bxy8", "Future / Visual pinball tables")</f>
        <v>Future / Visual pinball tables</v>
      </c>
      <c r="D261" t="s">
        <v>217</v>
      </c>
    </row>
    <row r="262" spans="1:5" x14ac:dyDescent="0.2">
      <c r="A262" t="str">
        <f>HYPERLINK("https://ftp.fau.de", "https://ftp.fau.de")</f>
        <v>https://ftp.fau.de</v>
      </c>
      <c r="B262" t="s">
        <v>5</v>
      </c>
      <c r="C262" t="str">
        <f>HYPERLINK("https://www.reddit.com/r/opendirectories/comments/4x33mp", "English presentations from a 2013 Chaos Computer Club meetup in Germany.")</f>
        <v>English presentations from a 2013 Chaos Computer Club meetup in Germany.</v>
      </c>
      <c r="D262" t="s">
        <v>218</v>
      </c>
      <c r="E262" t="s">
        <v>219</v>
      </c>
    </row>
    <row r="263" spans="1:5" x14ac:dyDescent="0.2">
      <c r="A263" t="str">
        <f>HYPERLINK("http://nand.net/adep", "http://nand.net/adep")</f>
        <v>http://nand.net/adep</v>
      </c>
      <c r="B263" t="s">
        <v>5</v>
      </c>
      <c r="C263" t="str">
        <f>HYPERLINK("https://www.reddit.com/r/opendirectories/comments/4urhdq", "What a 90's website index looked liked.")</f>
        <v>What a 90's website index looked liked.</v>
      </c>
      <c r="D263" t="s">
        <v>220</v>
      </c>
    </row>
    <row r="264" spans="1:5" x14ac:dyDescent="0.2">
      <c r="A264" t="str">
        <f>HYPERLINK("http://www.artfiles.org", "http://www.artfiles.org")</f>
        <v>http://www.artfiles.org</v>
      </c>
      <c r="B264" t="s">
        <v>5</v>
      </c>
      <c r="C264" t="str">
        <f>HYPERLINK("https://www.reddit.com/r/opendirectories/comments/4rd6ej", "A mirroring service with lots of stuff from various well-known sites.")</f>
        <v>A mirroring service with lots of stuff from various well-known sites.</v>
      </c>
      <c r="D264" t="s">
        <v>221</v>
      </c>
    </row>
    <row r="265" spans="1:5" x14ac:dyDescent="0.2">
      <c r="A265" t="str">
        <f>HYPERLINK("http://www.aciddr0p.net/aolunorgd", "http://www.aciddr0p.net/aolunorgd")</f>
        <v>http://www.aciddr0p.net/aolunorgd</v>
      </c>
      <c r="B265" t="s">
        <v>5</v>
      </c>
      <c r="C265" t="str">
        <f>HYPERLINK("https://www.reddit.com/r/opendirectories/comments/4oxr68", "Collection of (I think) simple script kiddie tools")</f>
        <v>Collection of (I think) simple script kiddie tools</v>
      </c>
      <c r="D265" t="s">
        <v>222</v>
      </c>
    </row>
    <row r="266" spans="1:5" x14ac:dyDescent="0.2">
      <c r="A266" t="str">
        <f>HYPERLINK("http://www.u.arizona.edu/~salvador", "http://www.u.arizona.edu/~salvador")</f>
        <v>http://www.u.arizona.edu/~salvador</v>
      </c>
      <c r="B266" t="s">
        <v>5</v>
      </c>
      <c r="C266" t="str">
        <f>HYPERLINK("https://www.reddit.com/r/opendirectories/comments/4l2eb6", "PowerPoints on History.")</f>
        <v>PowerPoints on History.</v>
      </c>
      <c r="D266" t="s">
        <v>223</v>
      </c>
    </row>
    <row r="267" spans="1:5" x14ac:dyDescent="0.2">
      <c r="A267" t="str">
        <f>HYPERLINK("http://users.du.se/~dbe/mp3", "http://users.du.se/~dbe/mp3")</f>
        <v>http://users.du.se/~dbe/mp3</v>
      </c>
      <c r="B267" t="s">
        <v>5</v>
      </c>
      <c r="C267" t="str">
        <f>HYPERLINK("https://www.reddit.com/r/opendirectories/comments/4fd2se", "Star Wars Trilogy Soundtracks")</f>
        <v>Star Wars Trilogy Soundtracks</v>
      </c>
      <c r="D267" t="s">
        <v>224</v>
      </c>
    </row>
    <row r="268" spans="1:5" x14ac:dyDescent="0.2">
      <c r="A268" t="str">
        <f>HYPERLINK("http://fun.bgjargon.com", "http://fun.bgjargon.com")</f>
        <v>http://fun.bgjargon.com</v>
      </c>
      <c r="B268" t="s">
        <v>5</v>
      </c>
      <c r="C268" t="str">
        <f>HYPERLINK("https://www.reddit.com/r/opendirectories/comments/4749ca", "Well, It's a Funny Folder")</f>
        <v>Well, It's a Funny Folder</v>
      </c>
      <c r="D268" t="s">
        <v>225</v>
      </c>
    </row>
    <row r="269" spans="1:5" x14ac:dyDescent="0.2">
      <c r="A269" t="str">
        <f>HYPERLINK("http://www.zi-de-zi.ro/wp-content/gallery", "http://www.zi-de-zi.ro/wp-content/gallery")</f>
        <v>http://www.zi-de-zi.ro/wp-content/gallery</v>
      </c>
      <c r="B269" t="s">
        <v>5</v>
      </c>
      <c r="C269" t="str">
        <f>HYPERLINK("https://www.reddit.com/r/opendirectories/comments/44c215", "I thought this was just some Romanian newspaper....")</f>
        <v>I thought this was just some Romanian newspaper....</v>
      </c>
      <c r="D269" t="s">
        <v>226</v>
      </c>
    </row>
    <row r="270" spans="1:5" x14ac:dyDescent="0.2">
      <c r="A270" t="str">
        <f>HYPERLINK("http://www.aaa-computerrepair.com/zip", "http://www.aaa-computerrepair.com/zip")</f>
        <v>http://www.aaa-computerrepair.com/zip</v>
      </c>
      <c r="B270" t="s">
        <v>5</v>
      </c>
      <c r="C270" t="str">
        <f>HYPERLINK("https://www.reddit.com/r/opendirectories/comments/41f3je", "PC Tech Directory")</f>
        <v>PC Tech Directory</v>
      </c>
      <c r="D270" t="s">
        <v>227</v>
      </c>
    </row>
    <row r="271" spans="1:5" x14ac:dyDescent="0.2">
      <c r="A271" t="str">
        <f>HYPERLINK("http://math.univ-lyon1.fr/~melleray/Math%20444", "http://math.univ-lyon1.fr/~melleray/Math%20444")</f>
        <v>http://math.univ-lyon1.fr/~melleray/Math%20444</v>
      </c>
      <c r="B271" t="s">
        <v>5</v>
      </c>
      <c r="C271" t="str">
        <f>HYPERLINK("https://www.reddit.com/r/opendirectories/comments/40vx39", "Graded homework for Advanced Calculus")</f>
        <v>Graded homework for Advanced Calculus</v>
      </c>
      <c r="D271" t="s">
        <v>228</v>
      </c>
    </row>
    <row r="272" spans="1:5" x14ac:dyDescent="0.2">
      <c r="A272" t="str">
        <f>HYPERLINK("http://195.221.21.36", "http://195.221.21.36")</f>
        <v>http://195.221.21.36</v>
      </c>
      <c r="B272" t="s">
        <v>5</v>
      </c>
      <c r="C272" t="str">
        <f>HYPERLINK("https://www.reddit.com/r/opendirectories/comments/40p85m", "Apple II Directory")</f>
        <v>Apple II Directory</v>
      </c>
      <c r="D272" t="s">
        <v>229</v>
      </c>
    </row>
    <row r="273" spans="1:4" x14ac:dyDescent="0.2">
      <c r="A273" t="str">
        <f>HYPERLINK("http://ftp.cc.uoc.gr", "http://ftp.cc.uoc.gr")</f>
        <v>http://ftp.cc.uoc.gr</v>
      </c>
      <c r="B273" t="s">
        <v>5</v>
      </c>
      <c r="C273" t="str">
        <f>HYPERLINK("https://www.reddit.com/r/opendirectories/comments/40edzx", "Misc Programming Directory")</f>
        <v>Misc Programming Directory</v>
      </c>
      <c r="D273" t="s">
        <v>230</v>
      </c>
    </row>
    <row r="274" spans="1:4" x14ac:dyDescent="0.2">
      <c r="A274" t="str">
        <f>HYPERLINK("http://foundphotos.net/images", "http://foundphotos.net/images")</f>
        <v>http://foundphotos.net/images</v>
      </c>
      <c r="B274" t="s">
        <v>5</v>
      </c>
      <c r="C274" t="str">
        <f>HYPERLINK("https://www.reddit.com/r/opendirectories/comments/3ycivn", "Found Fotos")</f>
        <v>Found Fotos</v>
      </c>
      <c r="D274" t="s">
        <v>231</v>
      </c>
    </row>
    <row r="275" spans="1:4" x14ac:dyDescent="0.2">
      <c r="A275" t="str">
        <f>HYPERLINK("http://nosebleed.alienmelon.com/porn", "http://nosebleed.alienmelon.com/porn")</f>
        <v>http://nosebleed.alienmelon.com/porn</v>
      </c>
      <c r="B275" t="s">
        <v>5</v>
      </c>
      <c r="C275" t="str">
        <f>HYPERLINK("https://www.reddit.com/r/opendirectories/comments/3y9ga6", "A whole bunch of gifs. There is some weird stuff in there.")</f>
        <v>A whole bunch of gifs. There is some weird stuff in there.</v>
      </c>
      <c r="D275" t="s">
        <v>232</v>
      </c>
    </row>
    <row r="276" spans="1:4" x14ac:dyDescent="0.2">
      <c r="A276" t="str">
        <f>HYPERLINK("http://pattaya-funtown.com/wp-content/uploads", "http://pattaya-funtown.com/wp-content/uploads")</f>
        <v>http://pattaya-funtown.com/wp-content/uploads</v>
      </c>
      <c r="B276" t="s">
        <v>5</v>
      </c>
      <c r="C276" t="str">
        <f>HYPERLINK("https://www.reddit.com/r/opendirectories/comments/3uesdw", "Planning a Hook-UpTrip to Thailand?")</f>
        <v>Planning a Hook-UpTrip to Thailand?</v>
      </c>
      <c r="D276" t="s">
        <v>233</v>
      </c>
    </row>
    <row r="277" spans="1:4" x14ac:dyDescent="0.2">
      <c r="A277" t="str">
        <f>HYPERLINK("http://www.capsulecomputers.com.au/wp-content", "http://www.capsulecomputers.com.au/wp-content")</f>
        <v>http://www.capsulecomputers.com.au/wp-content</v>
      </c>
      <c r="B277" t="s">
        <v>5</v>
      </c>
      <c r="C277" t="str">
        <f>HYPERLINK("https://www.reddit.com/r/opendirectories/comments/3tv73x", "For You Gaming Nerds....")</f>
        <v>For You Gaming Nerds....</v>
      </c>
      <c r="D277" t="s">
        <v>234</v>
      </c>
    </row>
    <row r="278" spans="1:4" x14ac:dyDescent="0.2">
      <c r="A278" t="str">
        <f>HYPERLINK("http://www.crt.state.la.us/downloads", "http://www.crt.state.la.us/downloads")</f>
        <v>http://www.crt.state.la.us/downloads</v>
      </c>
      <c r="B278" t="s">
        <v>5</v>
      </c>
      <c r="C278" t="str">
        <f>HYPERLINK("https://www.reddit.com/r/opendirectories/comments/3tepgd", "Louisiana Dept of Culture, Recreation and Tourism - dumpsite")</f>
        <v>Louisiana Dept of Culture, Recreation and Tourism - dumpsite</v>
      </c>
      <c r="D278" t="s">
        <v>235</v>
      </c>
    </row>
    <row r="279" spans="1:4" x14ac:dyDescent="0.2">
      <c r="A279" t="str">
        <f>HYPERLINK("http://home.fau.edu/schilitj/web", "http://home.fau.edu/schilitj/web")</f>
        <v>http://home.fau.edu/schilitj/web</v>
      </c>
      <c r="B279" t="s">
        <v>5</v>
      </c>
      <c r="C279" t="str">
        <f>HYPERLINK("https://www.reddit.com/r/opendirectories/comments/3teecr", "Florida Atlantic University (FAU) - Dr Jeffrey Schilit dumpsite (obviously infatuated with his Corvette)")</f>
        <v>Florida Atlantic University (FAU) - Dr Jeffrey Schilit dumpsite (obviously infatuated with his Corvette)</v>
      </c>
      <c r="D279" t="s">
        <v>235</v>
      </c>
    </row>
    <row r="280" spans="1:4" x14ac:dyDescent="0.2">
      <c r="A280" t="str">
        <f>HYPERLINK("http://www.konza.ksu.edu/ramps/genomics", "http://www.konza.ksu.edu/ramps/genomics")</f>
        <v>http://www.konza.ksu.edu/ramps/genomics</v>
      </c>
      <c r="B280" t="s">
        <v>5</v>
      </c>
      <c r="C280" t="str">
        <f>HYPERLINK("https://www.reddit.com/r/opendirectories/comments/3t9q3r", "Kansas State University - Rainfall Manipulation Plot Study (Genomics Data)")</f>
        <v>Kansas State University - Rainfall Manipulation Plot Study (Genomics Data)</v>
      </c>
      <c r="D280" t="s">
        <v>236</v>
      </c>
    </row>
    <row r="281" spans="1:4" x14ac:dyDescent="0.2">
      <c r="A281" t="str">
        <f>HYPERLINK("http://geoportal.utc.edu/webshare", "http://geoportal.utc.edu/webshare")</f>
        <v>http://geoportal.utc.edu/webshare</v>
      </c>
      <c r="B281" t="s">
        <v>5</v>
      </c>
      <c r="C281" t="str">
        <f>HYPERLINK("https://www.reddit.com/r/opendirectories/comments/3t9kvf", "University of Chattanooga (TN) Geographic Information Systems (GIS) - Randomness")</f>
        <v>University of Chattanooga (TN) Geographic Information Systems (GIS) - Randomness</v>
      </c>
      <c r="D281" t="s">
        <v>236</v>
      </c>
    </row>
    <row r="282" spans="1:4" x14ac:dyDescent="0.2">
      <c r="A282" t="str">
        <f>HYPERLINK("http://www.abilenetx.com/Ordinances", "http://www.abilenetx.com/Ordinances")</f>
        <v>http://www.abilenetx.com/Ordinances</v>
      </c>
      <c r="B282" t="s">
        <v>5</v>
      </c>
      <c r="C282" t="str">
        <f>HYPERLINK("https://www.reddit.com/r/opendirectories/comments/3t93ix", "Abilene, TX - All city ordinances dating back to 1907")</f>
        <v>Abilene, TX - All city ordinances dating back to 1907</v>
      </c>
      <c r="D282" t="s">
        <v>236</v>
      </c>
    </row>
    <row r="283" spans="1:4" x14ac:dyDescent="0.2">
      <c r="A283" t="str">
        <f>HYPERLINK("http://www.etsi.org/deliver", "http://www.etsi.org/deliver")</f>
        <v>http://www.etsi.org/deliver</v>
      </c>
      <c r="B283" t="s">
        <v>5</v>
      </c>
      <c r="C283" t="str">
        <f>HYPERLINK("https://www.reddit.com/r/opendirectories/comments/3t909e", "European Telecommunications Standards Institute (ETSI) - protocol standards in multiple languages")</f>
        <v>European Telecommunications Standards Institute (ETSI) - protocol standards in multiple languages</v>
      </c>
      <c r="D283" t="s">
        <v>236</v>
      </c>
    </row>
    <row r="284" spans="1:4" x14ac:dyDescent="0.2">
      <c r="A284" t="str">
        <f>HYPERLINK("http://flashworksphotobooth.com/wp-content/gallery", "http://flashworksphotobooth.com/wp-content/gallery")</f>
        <v>http://flashworksphotobooth.com/wp-content/gallery</v>
      </c>
      <c r="B284" t="s">
        <v>5</v>
      </c>
      <c r="C284" t="str">
        <f>HYPERLINK("https://www.reddit.com/r/opendirectories/comments/3qhkwk", "Rent a Photobooth")</f>
        <v>Rent a Photobooth</v>
      </c>
      <c r="D284" t="s">
        <v>237</v>
      </c>
    </row>
    <row r="285" spans="1:4" x14ac:dyDescent="0.2">
      <c r="A285" t="str">
        <f>HYPERLINK("http://cs.fit.edu/~wds/classes", "http://cs.fit.edu/~wds/classes")</f>
        <v>http://cs.fit.edu/~wds/classes</v>
      </c>
      <c r="B285" t="s">
        <v>5</v>
      </c>
      <c r="C285" t="str">
        <f>HYPERLINK("https://www.reddit.com/r/opendirectories/comments/3onh4t", "Applied Discrete Mathematics ~ Quizzes and Keys")</f>
        <v>Applied Discrete Mathematics ~ Quizzes and Keys</v>
      </c>
      <c r="D285" t="s">
        <v>238</v>
      </c>
    </row>
    <row r="286" spans="1:4" x14ac:dyDescent="0.2">
      <c r="A286" t="str">
        <f>HYPERLINK("http://freaky.staticusers.net/textfiles", "http://freaky.staticusers.net/textfiles")</f>
        <v>http://freaky.staticusers.net/textfiles</v>
      </c>
      <c r="B286" t="s">
        <v>5</v>
      </c>
      <c r="C286" t="str">
        <f>HYPERLINK("https://www.reddit.com/r/opendirectories/comments/3g2a4q", "Directory with some txt files")</f>
        <v>Directory with some txt files</v>
      </c>
      <c r="D286" t="s">
        <v>239</v>
      </c>
    </row>
    <row r="287" spans="1:4" x14ac:dyDescent="0.2">
      <c r="A287" t="str">
        <f>HYPERLINK("http://media.thelibrarie.com", "http://media.thelibrarie.com")</f>
        <v>http://media.thelibrarie.com</v>
      </c>
      <c r="B287" t="s">
        <v>5</v>
      </c>
      <c r="C287" t="str">
        <f>HYPERLINK("https://www.reddit.com/r/opendirectories/comments/3ekqni", "Misc Files")</f>
        <v>Misc Files</v>
      </c>
      <c r="D287" t="s">
        <v>240</v>
      </c>
    </row>
    <row r="288" spans="1:4" x14ac:dyDescent="0.2">
      <c r="A288" t="str">
        <f>HYPERLINK("http://www.finalsayan.com/media", "http://www.finalsayan.com/media")</f>
        <v>http://www.finalsayan.com/media</v>
      </c>
      <c r="B288" t="s">
        <v>5</v>
      </c>
      <c r="C288" t="str">
        <f>HYPERLINK("https://www.reddit.com/r/opendirectories/comments/3d8ypg", "Dragon Ball Z Stuff")</f>
        <v>Dragon Ball Z Stuff</v>
      </c>
      <c r="D288" t="s">
        <v>241</v>
      </c>
    </row>
    <row r="289" spans="1:4" x14ac:dyDescent="0.2">
      <c r="A289" t="str">
        <f>HYPERLINK("http://ftp.uni-bayreuth.de", "http://ftp.uni-bayreuth.de")</f>
        <v>http://ftp.uni-bayreuth.de</v>
      </c>
      <c r="B289" t="s">
        <v>5</v>
      </c>
      <c r="C289" t="str">
        <f>HYPERLINK("https://www.reddit.com/r/opendirectories/comments/3ckavz", "Random Stuff (Looks like Linux/Programming stuff)")</f>
        <v>Random Stuff (Looks like Linux/Programming stuff)</v>
      </c>
      <c r="D289" t="s">
        <v>242</v>
      </c>
    </row>
    <row r="290" spans="1:4" x14ac:dyDescent="0.2">
      <c r="A290" t="str">
        <f>HYPERLINK("http://www.jpdatabase.net/db_media", "http://www.jpdatabase.net/db_media")</f>
        <v>http://www.jpdatabase.net/db_media</v>
      </c>
      <c r="B290" t="s">
        <v>5</v>
      </c>
      <c r="C290" t="str">
        <f>HYPERLINK("https://www.reddit.com/r/opendirectories/comments/3cip1p", "Jurassic Park Stuff")</f>
        <v>Jurassic Park Stuff</v>
      </c>
      <c r="D290" t="s">
        <v>242</v>
      </c>
    </row>
    <row r="291" spans="1:4" x14ac:dyDescent="0.2">
      <c r="A291" t="str">
        <f>HYPERLINK("http://hampa.ch/pub", "http://hampa.ch/pub")</f>
        <v>http://hampa.ch/pub</v>
      </c>
      <c r="B291" t="s">
        <v>5</v>
      </c>
      <c r="C291" t="str">
        <f>HYPERLINK("https://www.reddit.com/r/opendirectories/comments/3ci017", "Abandonware")</f>
        <v>Abandonware</v>
      </c>
      <c r="D291" t="s">
        <v>242</v>
      </c>
    </row>
    <row r="292" spans="1:4" x14ac:dyDescent="0.2">
      <c r="A292" t="str">
        <f>HYPERLINK("http://www.gotceleb.com/wp-content/uploads/celebrities/nina-dobrev", "http://www.gotceleb.com/wp-content/uploads/celebrities/nina-dobrev")</f>
        <v>http://www.gotceleb.com/wp-content/uploads/celebrities/nina-dobrev</v>
      </c>
      <c r="B292" t="s">
        <v>5</v>
      </c>
      <c r="C292" t="str">
        <f>HYPERLINK("https://www.reddit.com/r/opendirectories/comments/32l8d9", "Nina Dobrev Collections")</f>
        <v>Nina Dobrev Collections</v>
      </c>
      <c r="D292" t="s">
        <v>243</v>
      </c>
    </row>
    <row r="293" spans="1:4" x14ac:dyDescent="0.2">
      <c r="A293" t="str">
        <f>HYPERLINK("http://www.2raw4tv.com/video/picture", "http://www.2raw4tv.com/video/picture")</f>
        <v>http://www.2raw4tv.com/video/picture</v>
      </c>
      <c r="B293" t="s">
        <v>5</v>
      </c>
      <c r="C293" t="str">
        <f>HYPERLINK("https://www.reddit.com/r/opendirectories/comments/2zm6u8", "looks quite interesting...")</f>
        <v>looks quite interesting...</v>
      </c>
      <c r="D293" t="s">
        <v>244</v>
      </c>
    </row>
    <row r="294" spans="1:4" x14ac:dyDescent="0.2">
      <c r="A294" t="str">
        <f>HYPERLINK("https://engineering.purdue.edu/~acsm", "https://engineering.purdue.edu/~acsm")</f>
        <v>https://engineering.purdue.edu/~acsm</v>
      </c>
      <c r="B294" t="s">
        <v>5</v>
      </c>
      <c r="C294" t="str">
        <f>HYPERLINK("https://www.reddit.com/r/opendirectories/comments/2umclt", "There's some amazing stuff at the bottom of acsm/")</f>
        <v>There's some amazing stuff at the bottom of acsm/</v>
      </c>
      <c r="D294" t="s">
        <v>245</v>
      </c>
    </row>
    <row r="295" spans="1:4" x14ac:dyDescent="0.2">
      <c r="A295" t="str">
        <f>HYPERLINK("https://cyberwar.nl", "https://cyberwar.nl")</f>
        <v>https://cyberwar.nl</v>
      </c>
      <c r="B295" t="s">
        <v>5</v>
      </c>
      <c r="C295" t="str">
        <f>HYPERLINK("https://www.reddit.com/r/opendirectories/comments/2mf4fu", "Stuxnet Sourcecode. I'm not going anywhere near this.")</f>
        <v>Stuxnet Sourcecode. I'm not going anywhere near this.</v>
      </c>
      <c r="D295" t="s">
        <v>246</v>
      </c>
    </row>
    <row r="296" spans="1:4" x14ac:dyDescent="0.2">
      <c r="A296" t="str">
        <f>HYPERLINK("http://themacarchive.net", "http://themacarchive.net")</f>
        <v>http://themacarchive.net</v>
      </c>
      <c r="B296" t="s">
        <v>5</v>
      </c>
      <c r="C296" t="str">
        <f>HYPERLINK("https://www.reddit.com/r/opendirectories/comments/yprcb", "(FTP) Vintage computing files, all different platforms")</f>
        <v>(FTP) Vintage computing files, all different platforms</v>
      </c>
      <c r="D296" t="s">
        <v>247</v>
      </c>
    </row>
    <row r="297" spans="1:4" x14ac:dyDescent="0.2">
      <c r="A297" t="str">
        <f>HYPERLINK("http://dubstep.com.au/mixes", "http://dubstep.com.au/mixes")</f>
        <v>http://dubstep.com.au/mixes</v>
      </c>
      <c r="B297" t="s">
        <v>5</v>
      </c>
      <c r="C297" t="str">
        <f>HYPERLINK("https://www.reddit.com/r/opendirectories/comments/kwfcq", "Another huge directory of Dubstep - &amp;gt;50M so no .nyud.net")</f>
        <v>Another huge directory of Dubstep - &amp;gt;50M so no .nyud.net</v>
      </c>
      <c r="D297" t="s">
        <v>248</v>
      </c>
    </row>
    <row r="298" spans="1:4" x14ac:dyDescent="0.2">
      <c r="A298" t="str">
        <f>HYPERLINK("http://www.wehavephotoshop.com", "http://www.wehavephotoshop.com")</f>
        <v>http://www.wehavephotoshop.com</v>
      </c>
      <c r="B298" t="s">
        <v>5</v>
      </c>
      <c r="C298" t="str">
        <f>HYPERLINK("https://www.reddit.com/r/opendirectories/comments/kw4mf", "The Internet")</f>
        <v>The Internet</v>
      </c>
      <c r="D298" t="s">
        <v>248</v>
      </c>
    </row>
    <row r="299" spans="1:4" x14ac:dyDescent="0.2">
      <c r="A299" t="str">
        <f>HYPERLINK("http://tastypie.kicks-ass.net", "http://tastypie.kicks-ass.net")</f>
        <v>http://tastypie.kicks-ass.net</v>
      </c>
      <c r="B299" t="s">
        <v>5</v>
      </c>
      <c r="C299" t="str">
        <f>HYPERLINK("https://www.reddit.com/r/opendirectories/comments/g8vgl", "An awful lot of SWF files")</f>
        <v>An awful lot of SWF files</v>
      </c>
      <c r="D299" t="s">
        <v>249</v>
      </c>
    </row>
    <row r="300" spans="1:4" x14ac:dyDescent="0.2">
      <c r="A300" t="str">
        <f>HYPERLINK("http://195.122.253.112", "http://195.122.253.112")</f>
        <v>http://195.122.253.112</v>
      </c>
      <c r="B300" t="s">
        <v>5</v>
      </c>
      <c r="C300" t="str">
        <f>HYPERLINK("https://www.reddit.com/r/opendirectories/comments/e993u", "A Mix of MP3s.  Anthrax to Ace of Base.  Joe Cocker to Julio Iglesias. Ect.")</f>
        <v>A Mix of MP3s.  Anthrax to Ace of Base.  Joe Cocker to Julio Iglesias. Ect.</v>
      </c>
      <c r="D300" t="s">
        <v>250</v>
      </c>
    </row>
    <row r="301" spans="1:4" x14ac:dyDescent="0.2">
      <c r="A301" t="str">
        <f>HYPERLINK("http://www.omgwallhack.org", "http://www.omgwallhack.org")</f>
        <v>http://www.omgwallhack.org</v>
      </c>
      <c r="B301" t="s">
        <v>5</v>
      </c>
      <c r="C301" t="str">
        <f>HYPERLINK("https://www.reddit.com/r/opendirectories/comments/e5m5d", "Cool url has a bunch of regular files and stuff, Goth family extra!")</f>
        <v>Cool url has a bunch of regular files and stuff, Goth family extra!</v>
      </c>
      <c r="D301" t="s">
        <v>251</v>
      </c>
    </row>
    <row r="302" spans="1:4" x14ac:dyDescent="0.2">
      <c r="A302" t="str">
        <f>HYPERLINK("http://www.kalkspatz.de/ablage", "http://www.kalkspatz.de/ablage")</f>
        <v>http://www.kalkspatz.de/ablage</v>
      </c>
      <c r="B302" t="s">
        <v>5</v>
      </c>
      <c r="C302" t="str">
        <f>HYPERLINK("https://www.reddit.com/r/opendirectories/comments/dn9um", "I found some fonts and other goodies here")</f>
        <v>I found some fonts and other goodies here</v>
      </c>
      <c r="D302" t="s">
        <v>252</v>
      </c>
    </row>
    <row r="303" spans="1:4" x14ac:dyDescent="0.2">
      <c r="A303" t="str">
        <f>HYPERLINK("http://live.sysinternals.com", "http://live.sysinternals.com")</f>
        <v>http://live.sysinternals.com</v>
      </c>
      <c r="B303" t="s">
        <v>5</v>
      </c>
      <c r="C303" t="str">
        <f>HYPERLINK("https://www.reddit.com/r/opendirectories/comments/d8kdn", "Sysinternals Live")</f>
        <v>Sysinternals Live</v>
      </c>
      <c r="D303" t="s">
        <v>253</v>
      </c>
    </row>
    <row r="304" spans="1:4" x14ac:dyDescent="0.2">
      <c r="A304" t="str">
        <f>HYPERLINK("http://crap.muiline.com/Games", "http://crap.muiline.com/Games")</f>
        <v>http://crap.muiline.com/Games</v>
      </c>
      <c r="B304" t="s">
        <v>5</v>
      </c>
      <c r="C304" t="str">
        <f>HYPERLINK("https://www.reddit.com/r/opendirectories/comments/cdnjz", "Counter-Strike, FIFA 07, Oni and Warcraft 3")</f>
        <v>Counter-Strike, FIFA 07, Oni and Warcraft 3</v>
      </c>
      <c r="D304" t="s">
        <v>254</v>
      </c>
    </row>
    <row r="305" spans="1:5" x14ac:dyDescent="0.2">
      <c r="A305" t="str">
        <f>HYPERLINK("http://www.mei-lwun.com/www_music", "http://www.mei-lwun.com/www_music")</f>
        <v>http://www.mei-lwun.com/www_music</v>
      </c>
      <c r="B305" t="s">
        <v>5</v>
      </c>
      <c r="C305" t="str">
        <f>HYPERLINK("https://www.reddit.com/r/opendirectories/comments/9wsrj", "DJ Mei Lwun's web content.  Guy's responsible for 'Sweet Home Country Grammar' and 'I Love 50 Cent'")</f>
        <v>DJ Mei Lwun's web content.  Guy's responsible for 'Sweet Home Country Grammar' and 'I Love 50 Cent'</v>
      </c>
      <c r="D305" t="s">
        <v>255</v>
      </c>
    </row>
    <row r="306" spans="1:5" x14ac:dyDescent="0.2">
      <c r="A306" t="str">
        <f>HYPERLINK("http://www.wtfgecko.co.uk/forlorn", "http://www.wtfgecko.co.uk/forlorn")</f>
        <v>http://www.wtfgecko.co.uk/forlorn</v>
      </c>
      <c r="B306" t="s">
        <v>5</v>
      </c>
      <c r="C306" t="str">
        <f>HYPERLINK("https://www.reddit.com/r/opendirectories/comments/9lioq", "Yar, I be understandin' ye be needing a few more shanties fer listenin' whilst y' be drinkin' yer rum on Saturday (International Talk Like A Pirate day).")</f>
        <v>Yar, I be understandin' ye be needing a few more shanties fer listenin' whilst y' be drinkin' yer rum on Saturday (International Talk Like A Pirate day).</v>
      </c>
      <c r="D306" t="s">
        <v>256</v>
      </c>
    </row>
    <row r="307" spans="1:5" x14ac:dyDescent="0.2">
      <c r="A307" t="str">
        <f>HYPERLINK("http://public.otstrel.ru", "http://public.otstrel.ru")</f>
        <v>http://public.otstrel.ru</v>
      </c>
      <c r="B307" t="s">
        <v>5</v>
      </c>
      <c r="C307" t="str">
        <f>HYPERLINK("https://www.reddit.com/r/opendirectories/comments/9kuuo", "Another huge russian one with all kind of files")</f>
        <v>Another huge russian one with all kind of files</v>
      </c>
      <c r="D307" t="s">
        <v>257</v>
      </c>
      <c r="E307" t="s">
        <v>8</v>
      </c>
    </row>
    <row r="308" spans="1:5" x14ac:dyDescent="0.2">
      <c r="A308" t="str">
        <f>HYPERLINK("http://media.sonicstadium.org", "http://media.sonicstadium.org")</f>
        <v>http://media.sonicstadium.org</v>
      </c>
      <c r="B308" t="s">
        <v>5</v>
      </c>
      <c r="C308" t="str">
        <f>HYPERLINK("https://www.reddit.com/r/opendirectories/comments/934xn", "Every Soundtrack from Sonic the Hedgehog.  Bring back those old Sega memories.")</f>
        <v>Every Soundtrack from Sonic the Hedgehog.  Bring back those old Sega memories.</v>
      </c>
      <c r="D308" t="s">
        <v>258</v>
      </c>
    </row>
    <row r="309" spans="1:5" x14ac:dyDescent="0.2">
      <c r="A309" t="str">
        <f>HYPERLINK("http://ftp.gaby.de/pub", "http://ftp.gaby.de/pub")</f>
        <v>http://ftp.gaby.de/pub</v>
      </c>
      <c r="B309" t="s">
        <v>5</v>
      </c>
      <c r="C309" t="str">
        <f>HYPERLINK("https://www.reddit.com/r/opendirectories/comments/8zfd7", "Stuff for old operating systems (CP/M, DOS, Win3x)")</f>
        <v>Stuff for old operating systems (CP/M, DOS, Win3x)</v>
      </c>
      <c r="D309" t="s">
        <v>259</v>
      </c>
    </row>
  </sheetData>
  <pageMargins left="0.75" right="0.75" top="1" bottom="1" header="0.511811023622047" footer="0.511811023622047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87"/>
  <sheetViews>
    <sheetView zoomScaleNormal="100" workbookViewId="0"/>
  </sheetViews>
  <sheetFormatPr baseColWidth="10" defaultColWidth="8.83203125" defaultRowHeight="15" x14ac:dyDescent="0.2"/>
  <cols>
    <col min="1" max="1" width="50" customWidth="1"/>
    <col min="3" max="3" width="80" customWidth="1"/>
    <col min="4" max="4" width="11" customWidth="1"/>
    <col min="5" max="5" width="80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tr">
        <f>HYPERLINK("http://miya.nipah.moe:81/public", "http://miya.nipah.moe:81/public")</f>
        <v>http://miya.nipah.moe:81/public</v>
      </c>
      <c r="B2" t="s">
        <v>5</v>
      </c>
      <c r="C2" t="str">
        <f>HYPERLINK("https://www.reddit.com/r/opendirectories/comments/pnwdql", "Osu! Maps, Manga, Anime, Music and more. Small variety of JP stuff.")</f>
        <v>Osu! Maps, Manga, Anime, Music and more. Small variety of JP stuff.</v>
      </c>
      <c r="D2" t="s">
        <v>362</v>
      </c>
      <c r="E2" t="s">
        <v>63</v>
      </c>
    </row>
    <row r="3" spans="1:5" x14ac:dyDescent="0.2">
      <c r="A3" t="str">
        <f>HYPERLINK("https://www.yukiko.org/manga", "https://www.yukiko.org/manga")</f>
        <v>https://www.yukiko.org/manga</v>
      </c>
      <c r="B3" t="s">
        <v>5</v>
      </c>
      <c r="C3" t="str">
        <f>HYPERLINK("https://www.reddit.com/r/opendirectories/comments/p6fok9", "Japanese Comic Books")</f>
        <v>Japanese Comic Books</v>
      </c>
      <c r="D3" t="s">
        <v>15</v>
      </c>
      <c r="E3" t="s">
        <v>63</v>
      </c>
    </row>
    <row r="4" spans="1:5" x14ac:dyDescent="0.2">
      <c r="A4" t="str">
        <f>HYPERLINK("http://173.249.45.226", "http://173.249.45.226")</f>
        <v>http://173.249.45.226</v>
      </c>
      <c r="B4" t="s">
        <v>5</v>
      </c>
      <c r="C4" t="str">
        <f>HYPERLINK("https://www.reddit.com/r/opendirectories/comments/jsa626", "JAV Galore, Hentai, Amat, ...")</f>
        <v>JAV Galore, Hentai, Amat, ...</v>
      </c>
      <c r="D4" t="s">
        <v>266</v>
      </c>
    </row>
    <row r="5" spans="1:5" x14ac:dyDescent="0.2">
      <c r="A5" t="str">
        <f>HYPERLINK("http://135.181.113.216:9000", "http://135.181.113.216:9000")</f>
        <v>http://135.181.113.216:9000</v>
      </c>
      <c r="B5" t="s">
        <v>5</v>
      </c>
      <c r="C5" t="str">
        <f>HYPERLINK("https://www.reddit.com/r/opendirectories/comments/o5n7qj", "Movies, tvshows, music, anime and ebooks")</f>
        <v>Movies, tvshows, music, anime and ebooks</v>
      </c>
      <c r="D5" t="s">
        <v>268</v>
      </c>
      <c r="E5" t="s">
        <v>14</v>
      </c>
    </row>
    <row r="6" spans="1:5" x14ac:dyDescent="0.2">
      <c r="A6" t="str">
        <f>HYPERLINK("http://dl2.doostihaa.net/Animation", "http://dl2.doostihaa.net/Animation")</f>
        <v>http://dl2.doostihaa.net/Animation</v>
      </c>
      <c r="B6" t="s">
        <v>5</v>
      </c>
      <c r="C6" t="str">
        <f t="shared" ref="C6:C14" si="0">HYPERLINK("https://www.reddit.com/r/opendirectories/comments/nsa8yg", "A mixed bag of asian Animes/Mangas ... and some movies, essentially in [JAP][KOR] and maybe some [ENG] subs.")</f>
        <v>A mixed bag of asian Animes/Mangas ... and some movies, essentially in [JAP][KOR] and maybe some [ENG] subs.</v>
      </c>
      <c r="D6" t="s">
        <v>270</v>
      </c>
      <c r="E6" t="s">
        <v>14</v>
      </c>
    </row>
    <row r="7" spans="1:5" x14ac:dyDescent="0.2">
      <c r="A7" t="str">
        <f>HYPERLINK("https://208.113.165.59", "https://208.113.165.59")</f>
        <v>https://208.113.165.59</v>
      </c>
      <c r="B7" t="s">
        <v>5</v>
      </c>
      <c r="C7" t="str">
        <f t="shared" si="0"/>
        <v>A mixed bag of asian Animes/Mangas ... and some movies, essentially in [JAP][KOR] and maybe some [ENG] subs.</v>
      </c>
      <c r="D7" t="s">
        <v>270</v>
      </c>
      <c r="E7" t="s">
        <v>14</v>
      </c>
    </row>
    <row r="8" spans="1:5" x14ac:dyDescent="0.2">
      <c r="A8" t="str">
        <f>HYPERLINK("http://176.36.86.211", "http://176.36.86.211")</f>
        <v>http://176.36.86.211</v>
      </c>
      <c r="B8" t="s">
        <v>5</v>
      </c>
      <c r="C8" t="str">
        <f t="shared" si="0"/>
        <v>A mixed bag of asian Animes/Mangas ... and some movies, essentially in [JAP][KOR] and maybe some [ENG] subs.</v>
      </c>
      <c r="D8" t="s">
        <v>270</v>
      </c>
      <c r="E8" t="s">
        <v>14</v>
      </c>
    </row>
    <row r="9" spans="1:5" x14ac:dyDescent="0.2">
      <c r="A9" t="str">
        <f>HYPERLINK("https://166.84.7.155", "https://166.84.7.155")</f>
        <v>https://166.84.7.155</v>
      </c>
      <c r="B9" t="s">
        <v>5</v>
      </c>
      <c r="C9" t="str">
        <f t="shared" si="0"/>
        <v>A mixed bag of asian Animes/Mangas ... and some movies, essentially in [JAP][KOR] and maybe some [ENG] subs.</v>
      </c>
      <c r="D9" t="s">
        <v>270</v>
      </c>
      <c r="E9" t="s">
        <v>14</v>
      </c>
    </row>
    <row r="10" spans="1:5" x14ac:dyDescent="0.2">
      <c r="A10" t="str">
        <f>HYPERLINK("http://ns3309227.ip-178-32-222.eu", "http://ns3309227.ip-178-32-222.eu")</f>
        <v>http://ns3309227.ip-178-32-222.eu</v>
      </c>
      <c r="B10" t="s">
        <v>5</v>
      </c>
      <c r="C10" t="str">
        <f t="shared" si="0"/>
        <v>A mixed bag of asian Animes/Mangas ... and some movies, essentially in [JAP][KOR] and maybe some [ENG] subs.</v>
      </c>
      <c r="D10" t="s">
        <v>270</v>
      </c>
      <c r="E10" t="s">
        <v>14</v>
      </c>
    </row>
    <row r="11" spans="1:5" x14ac:dyDescent="0.2">
      <c r="A11" t="str">
        <f>HYPERLINK("https://73.50.3.208", "https://73.50.3.208")</f>
        <v>https://73.50.3.208</v>
      </c>
      <c r="B11" t="s">
        <v>5</v>
      </c>
      <c r="C11" t="str">
        <f t="shared" si="0"/>
        <v>A mixed bag of asian Animes/Mangas ... and some movies, essentially in [JAP][KOR] and maybe some [ENG] subs.</v>
      </c>
      <c r="D11" t="s">
        <v>270</v>
      </c>
      <c r="E11" t="s">
        <v>14</v>
      </c>
    </row>
    <row r="12" spans="1:5" x14ac:dyDescent="0.2">
      <c r="A12" t="str">
        <f>HYPERLINK("http://zdlo.oni2.net", "http://zdlo.oni2.net")</f>
        <v>http://zdlo.oni2.net</v>
      </c>
      <c r="B12" t="s">
        <v>5</v>
      </c>
      <c r="C12" t="str">
        <f t="shared" si="0"/>
        <v>A mixed bag of asian Animes/Mangas ... and some movies, essentially in [JAP][KOR] and maybe some [ENG] subs.</v>
      </c>
      <c r="D12" t="s">
        <v>270</v>
      </c>
      <c r="E12" t="s">
        <v>14</v>
      </c>
    </row>
    <row r="13" spans="1:5" x14ac:dyDescent="0.2">
      <c r="A13" t="str">
        <f>HYPERLINK("https://192.99.0.65", "https://192.99.0.65")</f>
        <v>https://192.99.0.65</v>
      </c>
      <c r="B13" t="s">
        <v>5</v>
      </c>
      <c r="C13" t="str">
        <f t="shared" si="0"/>
        <v>A mixed bag of asian Animes/Mangas ... and some movies, essentially in [JAP][KOR] and maybe some [ENG] subs.</v>
      </c>
      <c r="D13" t="s">
        <v>270</v>
      </c>
      <c r="E13" t="s">
        <v>14</v>
      </c>
    </row>
    <row r="14" spans="1:5" x14ac:dyDescent="0.2">
      <c r="A14" t="str">
        <f>HYPERLINK("http://221.157.97.238", "http://221.157.97.238")</f>
        <v>http://221.157.97.238</v>
      </c>
      <c r="B14" t="s">
        <v>5</v>
      </c>
      <c r="C14" t="str">
        <f t="shared" si="0"/>
        <v>A mixed bag of asian Animes/Mangas ... and some movies, essentially in [JAP][KOR] and maybe some [ENG] subs.</v>
      </c>
      <c r="D14" t="s">
        <v>270</v>
      </c>
      <c r="E14" t="s">
        <v>14</v>
      </c>
    </row>
    <row r="15" spans="1:5" x14ac:dyDescent="0.2">
      <c r="A15" t="str">
        <f>HYPERLINK("http://media.lenovo.ru/Files", "http://media.lenovo.ru/Files")</f>
        <v>http://media.lenovo.ru/Files</v>
      </c>
      <c r="B15" t="s">
        <v>5</v>
      </c>
      <c r="C15" t="str">
        <f>HYPERLINK("https://www.reddit.com/r/opendirectories/comments/nkajd9", "NICE COLLECTION")</f>
        <v>NICE COLLECTION</v>
      </c>
      <c r="D15" t="s">
        <v>375</v>
      </c>
      <c r="E15" t="s">
        <v>61</v>
      </c>
    </row>
    <row r="16" spans="1:5" x14ac:dyDescent="0.2">
      <c r="A16" t="str">
        <f>HYPERLINK("http://leone74.thoon.feralhosting.com", "http://leone74.thoon.feralhosting.com")</f>
        <v>http://leone74.thoon.feralhosting.com</v>
      </c>
      <c r="B16" t="s">
        <v>5</v>
      </c>
      <c r="C16" t="str">
        <f>HYPERLINK("https://www.reddit.com/r/opendirectories/comments/nkajd9", "NICE COLLECTION")</f>
        <v>NICE COLLECTION</v>
      </c>
      <c r="D16" t="s">
        <v>375</v>
      </c>
      <c r="E16" t="s">
        <v>61</v>
      </c>
    </row>
    <row r="17" spans="1:5" x14ac:dyDescent="0.2">
      <c r="A17" t="str">
        <f>HYPERLINK("http://59.152.105.235/Disk-1", "http://59.152.105.235/Disk-1")</f>
        <v>http://59.152.105.235/Disk-1</v>
      </c>
      <c r="B17" t="s">
        <v>5</v>
      </c>
      <c r="C17" t="str">
        <f>HYPERLINK("https://www.reddit.com/r/opendirectories/comments/nkajd9", "NICE COLLECTION")</f>
        <v>NICE COLLECTION</v>
      </c>
      <c r="D17" t="s">
        <v>375</v>
      </c>
      <c r="E17" t="s">
        <v>61</v>
      </c>
    </row>
    <row r="18" spans="1:5" x14ac:dyDescent="0.2">
      <c r="A18" t="str">
        <f>HYPERLINK("https://work.rezom.eu", "https://work.rezom.eu")</f>
        <v>https://work.rezom.eu</v>
      </c>
      <c r="B18" t="s">
        <v>5</v>
      </c>
      <c r="C18" t="str">
        <f>HYPERLINK("https://www.reddit.com/r/opendirectories/comments/nkajd9", "NICE COLLECTION")</f>
        <v>NICE COLLECTION</v>
      </c>
      <c r="D18" t="s">
        <v>375</v>
      </c>
      <c r="E18" t="s">
        <v>61</v>
      </c>
    </row>
    <row r="19" spans="1:5" x14ac:dyDescent="0.2">
      <c r="A19" t="str">
        <f>HYPERLINK("http://www.artemka.spb.ru", "http://www.artemka.spb.ru")</f>
        <v>http://www.artemka.spb.ru</v>
      </c>
      <c r="B19" t="s">
        <v>5</v>
      </c>
      <c r="C19" t="str">
        <f>HYPERLINK("https://www.reddit.com/r/opendirectories/comments/nkajd9", "NICE COLLECTION")</f>
        <v>NICE COLLECTION</v>
      </c>
      <c r="D19" t="s">
        <v>375</v>
      </c>
      <c r="E19" t="s">
        <v>61</v>
      </c>
    </row>
    <row r="20" spans="1:5" x14ac:dyDescent="0.2">
      <c r="A20" t="str">
        <f>HYPERLINK("https://valvearchive.com", "https://valvearchive.com")</f>
        <v>https://valvearchive.com</v>
      </c>
      <c r="B20" t="s">
        <v>5</v>
      </c>
      <c r="C20" t="str">
        <f>HYPERLINK("https://www.reddit.com/r/opendirectories/comments/gt4tt9", "Valve Archive Fan OD")</f>
        <v>Valve Archive Fan OD</v>
      </c>
      <c r="D20" t="s">
        <v>379</v>
      </c>
      <c r="E20" t="s">
        <v>61</v>
      </c>
    </row>
    <row r="21" spans="1:5" x14ac:dyDescent="0.2">
      <c r="A21" t="str">
        <f>HYPERLINK("https://wh0rd.org", "https://wh0rd.org")</f>
        <v>https://wh0rd.org</v>
      </c>
      <c r="B21" t="s">
        <v>5</v>
      </c>
      <c r="C21" t="str">
        <f>HYPERLINK("https://www.reddit.com/r/opendirectories/comments/n0yhso", "[NSFW]: A Google Engineers monument to the old internet, mostly random comics, pics, media.")</f>
        <v>[NSFW]: A Google Engineers monument to the old internet, mostly random comics, pics, media.</v>
      </c>
      <c r="D21" t="s">
        <v>674</v>
      </c>
    </row>
    <row r="22" spans="1:5" x14ac:dyDescent="0.2">
      <c r="A22" t="str">
        <f>HYPERLINK("http://www.winnow.veeshanvault.org/files", "http://www.winnow.veeshanvault.org/files")</f>
        <v>http://www.winnow.veeshanvault.org/files</v>
      </c>
      <c r="B22" t="s">
        <v>5</v>
      </c>
      <c r="C22" t="str">
        <f>HYPERLINK("https://www.reddit.com/r/opendirectories/comments/2nagii", "Comics, comics everywhere. DC, Marvel, others...")</f>
        <v>Comics, comics everywhere. DC, Marvel, others...</v>
      </c>
      <c r="D22" t="s">
        <v>675</v>
      </c>
    </row>
    <row r="23" spans="1:5" x14ac:dyDescent="0.2">
      <c r="A23" t="str">
        <f>HYPERLINK("http://archives.1wise.es", "http://archives.1wise.es")</f>
        <v>http://archives.1wise.es</v>
      </c>
      <c r="B23" t="s">
        <v>5</v>
      </c>
      <c r="C23" t="str">
        <f>HYPERLINK("https://www.reddit.com/r/opendirectories/comments/mks6a3", "Some web wonderings I did today")</f>
        <v>Some web wonderings I did today</v>
      </c>
      <c r="D23" t="s">
        <v>274</v>
      </c>
    </row>
    <row r="24" spans="1:5" x14ac:dyDescent="0.2">
      <c r="A24" t="str">
        <f>HYPERLINK("http://69.164.208.4/files", "http://69.164.208.4/files")</f>
        <v>http://69.164.208.4/files</v>
      </c>
      <c r="B24" t="s">
        <v>5</v>
      </c>
      <c r="C24" t="str">
        <f>HYPERLINK("https://www.reddit.com/r/opendirectories/comments/mks6a3", "Some web wonderings I did today")</f>
        <v>Some web wonderings I did today</v>
      </c>
      <c r="D24" t="s">
        <v>274</v>
      </c>
    </row>
    <row r="25" spans="1:5" x14ac:dyDescent="0.2">
      <c r="A25" t="str">
        <f>HYPERLINK("http://pauladaunt.com/books", "http://pauladaunt.com/books")</f>
        <v>http://pauladaunt.com/books</v>
      </c>
      <c r="B25" t="s">
        <v>5</v>
      </c>
      <c r="C25" t="str">
        <f>HYPERLINK("https://www.reddit.com/r/opendirectories/comments/3dn84u", "Random Books (.txt and .pdf)")</f>
        <v>Random Books (.txt and .pdf)</v>
      </c>
      <c r="D25" t="s">
        <v>275</v>
      </c>
    </row>
    <row r="26" spans="1:5" x14ac:dyDescent="0.2">
      <c r="A26" t="str">
        <f>HYPERLINK("http://www.chiark.greenend.org.uk", "http://www.chiark.greenend.org.uk")</f>
        <v>http://www.chiark.greenend.org.uk</v>
      </c>
      <c r="B26" t="s">
        <v>5</v>
      </c>
      <c r="C26" t="str">
        <f t="shared" ref="C26:C33" si="1">HYPERLINK("https://www.reddit.com/r/opendirectories/comments/mks6a3", "Some web wonderings I did today")</f>
        <v>Some web wonderings I did today</v>
      </c>
      <c r="D26" t="s">
        <v>274</v>
      </c>
    </row>
    <row r="27" spans="1:5" x14ac:dyDescent="0.2">
      <c r="A27" t="str">
        <f>HYPERLINK("http://www.st-marks.kent.sch.uk/wp-content/uploads", "http://www.st-marks.kent.sch.uk/wp-content/uploads")</f>
        <v>http://www.st-marks.kent.sch.uk/wp-content/uploads</v>
      </c>
      <c r="B27" t="s">
        <v>5</v>
      </c>
      <c r="C27" t="str">
        <f t="shared" si="1"/>
        <v>Some web wonderings I did today</v>
      </c>
      <c r="D27" t="s">
        <v>274</v>
      </c>
    </row>
    <row r="28" spans="1:5" x14ac:dyDescent="0.2">
      <c r="A28" t="str">
        <f>HYPERLINK("http://www.blackkat.net/tintin", "http://www.blackkat.net/tintin")</f>
        <v>http://www.blackkat.net/tintin</v>
      </c>
      <c r="B28" t="s">
        <v>5</v>
      </c>
      <c r="C28" t="str">
        <f t="shared" si="1"/>
        <v>Some web wonderings I did today</v>
      </c>
      <c r="D28" t="s">
        <v>274</v>
      </c>
    </row>
    <row r="29" spans="1:5" x14ac:dyDescent="0.2">
      <c r="A29" t="str">
        <f>HYPERLINK("https://eref.se", "https://eref.se")</f>
        <v>https://eref.se</v>
      </c>
      <c r="B29" t="s">
        <v>5</v>
      </c>
      <c r="C29" t="str">
        <f t="shared" si="1"/>
        <v>Some web wonderings I did today</v>
      </c>
      <c r="D29" t="s">
        <v>274</v>
      </c>
    </row>
    <row r="30" spans="1:5" x14ac:dyDescent="0.2">
      <c r="A30" t="str">
        <f>HYPERLINK("http://154.68.126.6/library", "http://154.68.126.6/library")</f>
        <v>http://154.68.126.6/library</v>
      </c>
      <c r="B30" t="s">
        <v>5</v>
      </c>
      <c r="C30" t="str">
        <f t="shared" si="1"/>
        <v>Some web wonderings I did today</v>
      </c>
      <c r="D30" t="s">
        <v>274</v>
      </c>
    </row>
    <row r="31" spans="1:5" x14ac:dyDescent="0.2">
      <c r="A31" t="str">
        <f>HYPERLINK("http://home.iowaandersons.com", "http://home.iowaandersons.com")</f>
        <v>http://home.iowaandersons.com</v>
      </c>
      <c r="B31" t="s">
        <v>5</v>
      </c>
      <c r="C31" t="str">
        <f t="shared" si="1"/>
        <v>Some web wonderings I did today</v>
      </c>
      <c r="D31" t="s">
        <v>274</v>
      </c>
    </row>
    <row r="32" spans="1:5" x14ac:dyDescent="0.2">
      <c r="A32" t="str">
        <f>HYPERLINK("https://gennuso.iiens.net/lectures/Le%20livre%20d%27or%20de%20la%20SF", "https://gennuso.iiens.net/lectures/Le%20livre%20d%27or%20de%20la%20SF")</f>
        <v>https://gennuso.iiens.net/lectures/Le%20livre%20d%27or%20de%20la%20SF</v>
      </c>
      <c r="B32" t="s">
        <v>5</v>
      </c>
      <c r="C32" t="str">
        <f t="shared" si="1"/>
        <v>Some web wonderings I did today</v>
      </c>
      <c r="D32" t="s">
        <v>274</v>
      </c>
    </row>
    <row r="33" spans="1:5" x14ac:dyDescent="0.2">
      <c r="A33" t="str">
        <f>HYPERLINK("http://www.indiepornrevolution.com/indie-porn/wp-content/uploads", "http://www.indiepornrevolution.com/indie-porn/wp-content/uploads")</f>
        <v>http://www.indiepornrevolution.com/indie-porn/wp-content/uploads</v>
      </c>
      <c r="B33" t="s">
        <v>5</v>
      </c>
      <c r="C33" t="str">
        <f t="shared" si="1"/>
        <v>Some web wonderings I did today</v>
      </c>
      <c r="D33" t="s">
        <v>274</v>
      </c>
    </row>
    <row r="34" spans="1:5" x14ac:dyDescent="0.2">
      <c r="A34" t="str">
        <f>HYPERLINK("http://www.vancouver-rhodes.com", "http://www.vancouver-rhodes.com")</f>
        <v>http://www.vancouver-rhodes.com</v>
      </c>
      <c r="B34" t="s">
        <v>5</v>
      </c>
      <c r="C34" t="str">
        <f>HYPERLINK("https://www.reddit.com/r/opendirectories/comments/m4vums", "Comics...")</f>
        <v>Comics...</v>
      </c>
      <c r="D34" t="s">
        <v>45</v>
      </c>
    </row>
    <row r="35" spans="1:5" x14ac:dyDescent="0.2">
      <c r="A35" t="str">
        <f>HYPERLINK("http://freeweb.t-2.net/neurotic", "http://freeweb.t-2.net/neurotic")</f>
        <v>http://freeweb.t-2.net/neurotic</v>
      </c>
      <c r="B35" t="s">
        <v>5</v>
      </c>
      <c r="C35" t="str">
        <f>HYPERLINK("https://www.reddit.com/r/opendirectories/comments/m4ttii", "1960's anti-communist comic.")</f>
        <v>1960's anti-communist comic.</v>
      </c>
      <c r="D35" t="s">
        <v>45</v>
      </c>
    </row>
    <row r="36" spans="1:5" x14ac:dyDescent="0.2">
      <c r="A36" t="str">
        <f>HYPERLINK("https://213.32.0.222", "https://213.32.0.222")</f>
        <v>https://213.32.0.222</v>
      </c>
      <c r="B36" t="s">
        <v>5</v>
      </c>
      <c r="C36" t="str">
        <f>HYPERLINK("https://www.reddit.com/r/opendirectories/comments/jthnfk", "A bunch of Japanese Animes in various languages (JAP, ENG, RUS, GER)")</f>
        <v>A bunch of Japanese Animes in various languages (JAP, ENG, RUS, GER)</v>
      </c>
      <c r="D36" t="s">
        <v>278</v>
      </c>
      <c r="E36" t="s">
        <v>279</v>
      </c>
    </row>
    <row r="37" spans="1:5" x14ac:dyDescent="0.2">
      <c r="A37" t="str">
        <f>HYPERLINK("http://ns377932.ip-5-196-89.eu/freecomics/books", "http://ns377932.ip-5-196-89.eu/freecomics/books")</f>
        <v>http://ns377932.ip-5-196-89.eu/freecomics/books</v>
      </c>
      <c r="B37" t="s">
        <v>5</v>
      </c>
      <c r="C37" t="str">
        <f>HYPERLINK("https://www.reddit.com/r/opendirectories/comments/k78arm", "A ton of ebooks and comics")</f>
        <v>A ton of ebooks and comics</v>
      </c>
      <c r="D37" t="s">
        <v>57</v>
      </c>
    </row>
    <row r="38" spans="1:5" x14ac:dyDescent="0.2">
      <c r="A38" t="str">
        <f>HYPERLINK("http://www.kameli.net/~manu", "http://www.kameli.net/~manu")</f>
        <v>http://www.kameli.net/~manu</v>
      </c>
      <c r="B38" t="s">
        <v>5</v>
      </c>
      <c r="C38" t="str">
        <f>HYPERLINK("https://www.reddit.com/r/opendirectories/comments/5ndz7r", "Some video game Mp3's")</f>
        <v>Some video game Mp3's</v>
      </c>
      <c r="D38" t="s">
        <v>307</v>
      </c>
    </row>
    <row r="39" spans="1:5" x14ac:dyDescent="0.2">
      <c r="A39" t="str">
        <f>HYPERLINK("https://home.pilsfree.net", "https://home.pilsfree.net")</f>
        <v>https://home.pilsfree.net</v>
      </c>
      <c r="B39" t="s">
        <v>5</v>
      </c>
      <c r="C39" t="str">
        <f>HYPERLINK("https://www.reddit.com/r/opendirectories/comments/ape43b", "list of RE-POST's")</f>
        <v>list of RE-POST's</v>
      </c>
      <c r="D39" t="s">
        <v>396</v>
      </c>
    </row>
    <row r="40" spans="1:5" x14ac:dyDescent="0.2">
      <c r="A40" t="str">
        <f>HYPERLINK("http://218.72.252.150:9004", "http://218.72.252.150:9004")</f>
        <v>http://218.72.252.150:9004</v>
      </c>
      <c r="B40" t="s">
        <v>5</v>
      </c>
      <c r="C40" t="str">
        <f>HYPERLINK("https://www.reddit.com/r/opendirectories/comments/jsa626", "JAV Galore, Hentai, Amat, ...")</f>
        <v>JAV Galore, Hentai, Amat, ...</v>
      </c>
      <c r="D40" t="s">
        <v>266</v>
      </c>
    </row>
    <row r="41" spans="1:5" x14ac:dyDescent="0.2">
      <c r="A41" t="str">
        <f>HYPERLINK("https://107.175.63.104", "https://107.175.63.104")</f>
        <v>https://107.175.63.104</v>
      </c>
      <c r="B41" t="s">
        <v>5</v>
      </c>
      <c r="C41" t="str">
        <f>HYPERLINK("https://www.reddit.com/r/opendirectories/comments/jsa626", "JAV Galore, Hentai, Amat, ...")</f>
        <v>JAV Galore, Hentai, Amat, ...</v>
      </c>
      <c r="D41" t="s">
        <v>266</v>
      </c>
    </row>
    <row r="42" spans="1:5" x14ac:dyDescent="0.2">
      <c r="A42" t="str">
        <f>HYPERLINK("http://91.205.172.13:9000", "http://91.205.172.13:9000")</f>
        <v>http://91.205.172.13:9000</v>
      </c>
      <c r="B42" t="s">
        <v>5</v>
      </c>
      <c r="C42" t="str">
        <f>HYPERLINK("https://www.reddit.com/r/opendirectories/comments/jsa626", "JAV Galore, Hentai, Amat, ...")</f>
        <v>JAV Galore, Hentai, Amat, ...</v>
      </c>
      <c r="D42" t="s">
        <v>266</v>
      </c>
    </row>
    <row r="43" spans="1:5" x14ac:dyDescent="0.2">
      <c r="A43" t="str">
        <f>HYPERLINK("https://37.187.96.179", "https://37.187.96.179")</f>
        <v>https://37.187.96.179</v>
      </c>
      <c r="B43" t="s">
        <v>5</v>
      </c>
      <c r="C43" t="str">
        <f>HYPERLINK("https://www.reddit.com/r/opendirectories/comments/jsa626", "JAV Galore, Hentai, Amat, ...")</f>
        <v>JAV Galore, Hentai, Amat, ...</v>
      </c>
      <c r="D43" t="s">
        <v>266</v>
      </c>
    </row>
    <row r="44" spans="1:5" x14ac:dyDescent="0.2">
      <c r="A44" t="str">
        <f>HYPERLINK("http://51.15.25.24", "http://51.15.25.24")</f>
        <v>http://51.15.25.24</v>
      </c>
      <c r="B44" t="s">
        <v>5</v>
      </c>
      <c r="C44" t="str">
        <f>HYPERLINK("https://www.reddit.com/r/opendirectories/comments/jsa626", "JAV Galore, Hentai, Amat, ...")</f>
        <v>JAV Galore, Hentai, Amat, ...</v>
      </c>
      <c r="D44" t="s">
        <v>266</v>
      </c>
    </row>
    <row r="45" spans="1:5" x14ac:dyDescent="0.2">
      <c r="A45" t="str">
        <f>HYPERLINK("http://ichigo69.mayulive.com/manga", "http://ichigo69.mayulive.com/manga")</f>
        <v>http://ichigo69.mayulive.com/manga</v>
      </c>
      <c r="B45" t="s">
        <v>5</v>
      </c>
      <c r="C45" t="str">
        <f>HYPERLINK("https://www.reddit.com/r/opendirectories/comments/hjnzdo", "index of anime picture books")</f>
        <v>index of anime picture books</v>
      </c>
      <c r="D45" t="s">
        <v>81</v>
      </c>
    </row>
    <row r="46" spans="1:5" x14ac:dyDescent="0.2">
      <c r="A46" t="str">
        <f>HYPERLINK("https://archives.eyrie.org", "https://archives.eyrie.org")</f>
        <v>https://archives.eyrie.org</v>
      </c>
      <c r="B46" t="s">
        <v>5</v>
      </c>
      <c r="C46" t="str">
        <f>HYPERLINK("https://www.reddit.com/r/opendirectories/comments/dzq53d", "Evangelion Fanfic (Not NSFW but weird as fuck, if you know evangelion)")</f>
        <v>Evangelion Fanfic (Not NSFW but weird as fuck, if you know evangelion)</v>
      </c>
      <c r="D46" t="s">
        <v>105</v>
      </c>
    </row>
    <row r="47" spans="1:5" x14ac:dyDescent="0.2">
      <c r="A47" t="str">
        <f>HYPERLINK("http://www.eduo.info/wp-content/uploads", "http://www.eduo.info/wp-content/uploads")</f>
        <v>http://www.eduo.info/wp-content/uploads</v>
      </c>
      <c r="B47" t="s">
        <v>5</v>
      </c>
      <c r="C47" t="str">
        <f>HYPERLINK("https://www.reddit.com/r/opendirectories/comments/hq6hda", "Watchmen Comics 1-12")</f>
        <v>Watchmen Comics 1-12</v>
      </c>
      <c r="D47" t="s">
        <v>485</v>
      </c>
    </row>
    <row r="48" spans="1:5" x14ac:dyDescent="0.2">
      <c r="A48" t="str">
        <f>HYPERLINK("https://doc.downloadha.com", "https://doc.downloadha.com")</f>
        <v>https://doc.downloadha.com</v>
      </c>
      <c r="B48" t="s">
        <v>5</v>
      </c>
      <c r="C48" t="str">
        <f>HYPERLINK("https://www.reddit.com/r/opendirectories/comments/d5e6ka", "Lots of Documentaries, BBC, Nature, MvGroup etc.")</f>
        <v>Lots of Documentaries, BBC, Nature, MvGroup etc.</v>
      </c>
      <c r="D48" t="s">
        <v>407</v>
      </c>
    </row>
    <row r="49" spans="1:5" x14ac:dyDescent="0.2">
      <c r="A49" t="str">
        <f>HYPERLINK("https://ftp.sunet.se", "https://ftp.sunet.se")</f>
        <v>https://ftp.sunet.se</v>
      </c>
      <c r="B49" t="s">
        <v>5</v>
      </c>
      <c r="C49" t="str">
        <f>HYPERLINK("https://www.reddit.com/r/opendirectories/comments/ak1xka", "Swedish Umea University ACC Club Directory. Has files going back to 94, games, classic anime, books, etc.")</f>
        <v>Swedish Umea University ACC Club Directory. Has files going back to 94, games, classic anime, books, etc.</v>
      </c>
      <c r="D49" t="s">
        <v>414</v>
      </c>
    </row>
    <row r="50" spans="1:5" x14ac:dyDescent="0.2">
      <c r="A50" t="str">
        <f>HYPERLINK("http://kacem.fr/public", "http://kacem.fr/public")</f>
        <v>http://kacem.fr/public</v>
      </c>
      <c r="B50" t="s">
        <v>5</v>
      </c>
      <c r="C50" t="str">
        <f>HYPERLINK("https://www.reddit.com/r/opendirectories/comments/crv4dz", "French/English scan")</f>
        <v>French/English scan</v>
      </c>
      <c r="D50" t="s">
        <v>124</v>
      </c>
      <c r="E50" t="s">
        <v>359</v>
      </c>
    </row>
    <row r="51" spans="1:5" x14ac:dyDescent="0.2">
      <c r="A51" t="str">
        <f>HYPERLINK("http://worms4.elewendyl.fr", "http://worms4.elewendyl.fr")</f>
        <v>http://worms4.elewendyl.fr</v>
      </c>
      <c r="B51" t="s">
        <v>5</v>
      </c>
      <c r="C51" t="str">
        <f>HYPERLINK("https://www.reddit.com/r/opendirectories/comments/crv4dz", "French/English scan")</f>
        <v>French/English scan</v>
      </c>
      <c r="D51" t="s">
        <v>124</v>
      </c>
      <c r="E51" t="s">
        <v>359</v>
      </c>
    </row>
    <row r="52" spans="1:5" x14ac:dyDescent="0.2">
      <c r="A52" t="str">
        <f>HYPERLINK("http://pitofdespair.randominsanity.org/other", "http://pitofdespair.randominsanity.org/other")</f>
        <v>http://pitofdespair.randominsanity.org/other</v>
      </c>
      <c r="B52" t="s">
        <v>5</v>
      </c>
      <c r="C52" t="str">
        <f>HYPERLINK("https://www.reddit.com/r/opendirectories/comments/crv4dz", "French/English scan")</f>
        <v>French/English scan</v>
      </c>
      <c r="D52" t="s">
        <v>124</v>
      </c>
      <c r="E52" t="s">
        <v>359</v>
      </c>
    </row>
    <row r="53" spans="1:5" x14ac:dyDescent="0.2">
      <c r="A53" t="str">
        <f>HYPERLINK("https://b.goeswhere.com", "https://b.goeswhere.com")</f>
        <v>https://b.goeswhere.com</v>
      </c>
      <c r="B53" t="s">
        <v>5</v>
      </c>
      <c r="C53" t="str">
        <f t="shared" ref="C53:C79" si="2">HYPERLINK("https://www.reddit.com/r/opendirectories/comments/ape43b", "list of RE-POST's")</f>
        <v>list of RE-POST's</v>
      </c>
      <c r="D53" t="s">
        <v>396</v>
      </c>
    </row>
    <row r="54" spans="1:5" x14ac:dyDescent="0.2">
      <c r="A54" t="str">
        <f>HYPERLINK("https://blackstarkodi.com", "https://blackstarkodi.com")</f>
        <v>https://blackstarkodi.com</v>
      </c>
      <c r="B54" t="s">
        <v>5</v>
      </c>
      <c r="C54" t="str">
        <f t="shared" si="2"/>
        <v>list of RE-POST's</v>
      </c>
      <c r="D54" t="s">
        <v>396</v>
      </c>
    </row>
    <row r="55" spans="1:5" x14ac:dyDescent="0.2">
      <c r="A55" t="str">
        <f>HYPERLINK("https://cache.csrulez.ru", "https://cache.csrulez.ru")</f>
        <v>https://cache.csrulez.ru</v>
      </c>
      <c r="B55" t="s">
        <v>5</v>
      </c>
      <c r="C55" t="str">
        <f t="shared" si="2"/>
        <v>list of RE-POST's</v>
      </c>
      <c r="D55" t="s">
        <v>396</v>
      </c>
    </row>
    <row r="56" spans="1:5" x14ac:dyDescent="0.2">
      <c r="A56" t="str">
        <f>HYPERLINK("https://ch0c.com", "https://ch0c.com")</f>
        <v>https://ch0c.com</v>
      </c>
      <c r="B56" t="s">
        <v>5</v>
      </c>
      <c r="C56" t="str">
        <f t="shared" si="2"/>
        <v>list of RE-POST's</v>
      </c>
      <c r="D56" t="s">
        <v>396</v>
      </c>
    </row>
    <row r="57" spans="1:5" x14ac:dyDescent="0.2">
      <c r="A57" t="str">
        <f>HYPERLINK("https://cyberside.net.ee", "https://cyberside.net.ee")</f>
        <v>https://cyberside.net.ee</v>
      </c>
      <c r="B57" t="s">
        <v>5</v>
      </c>
      <c r="C57" t="str">
        <f t="shared" si="2"/>
        <v>list of RE-POST's</v>
      </c>
      <c r="D57" t="s">
        <v>396</v>
      </c>
    </row>
    <row r="58" spans="1:5" x14ac:dyDescent="0.2">
      <c r="A58" t="str">
        <f>HYPERLINK("https://dl.par30dl.com", "https://dl.par30dl.com")</f>
        <v>https://dl.par30dl.com</v>
      </c>
      <c r="B58" t="s">
        <v>5</v>
      </c>
      <c r="C58" t="str">
        <f t="shared" si="2"/>
        <v>list of RE-POST's</v>
      </c>
      <c r="D58" t="s">
        <v>396</v>
      </c>
    </row>
    <row r="59" spans="1:5" x14ac:dyDescent="0.2">
      <c r="A59" t="str">
        <f>HYPERLINK("https://download.nextcloud.com", "https://download.nextcloud.com")</f>
        <v>https://download.nextcloud.com</v>
      </c>
      <c r="B59" t="s">
        <v>5</v>
      </c>
      <c r="C59" t="str">
        <f t="shared" si="2"/>
        <v>list of RE-POST's</v>
      </c>
      <c r="D59" t="s">
        <v>396</v>
      </c>
    </row>
    <row r="60" spans="1:5" x14ac:dyDescent="0.2">
      <c r="A60" t="str">
        <f>HYPERLINK("https://download.videolan.org", "https://download.videolan.org")</f>
        <v>https://download.videolan.org</v>
      </c>
      <c r="B60" t="s">
        <v>5</v>
      </c>
      <c r="C60" t="str">
        <f t="shared" si="2"/>
        <v>list of RE-POST's</v>
      </c>
      <c r="D60" t="s">
        <v>396</v>
      </c>
    </row>
    <row r="61" spans="1:5" x14ac:dyDescent="0.2">
      <c r="A61" t="str">
        <f>HYPERLINK("https://ftp.belnet.be", "https://ftp.belnet.be")</f>
        <v>https://ftp.belnet.be</v>
      </c>
      <c r="B61" t="s">
        <v>5</v>
      </c>
      <c r="C61" t="str">
        <f t="shared" si="2"/>
        <v>list of RE-POST's</v>
      </c>
      <c r="D61" t="s">
        <v>396</v>
      </c>
    </row>
    <row r="62" spans="1:5" x14ac:dyDescent="0.2">
      <c r="A62" t="str">
        <f>HYPERLINK("https://ftp.dlink.ru", "https://ftp.dlink.ru")</f>
        <v>https://ftp.dlink.ru</v>
      </c>
      <c r="B62" t="s">
        <v>5</v>
      </c>
      <c r="C62" t="str">
        <f t="shared" si="2"/>
        <v>list of RE-POST's</v>
      </c>
      <c r="D62" t="s">
        <v>396</v>
      </c>
    </row>
    <row r="63" spans="1:5" x14ac:dyDescent="0.2">
      <c r="A63" t="str">
        <f>HYPERLINK("https://ftp.funet.fi", "https://ftp.funet.fi")</f>
        <v>https://ftp.funet.fi</v>
      </c>
      <c r="B63" t="s">
        <v>5</v>
      </c>
      <c r="C63" t="str">
        <f t="shared" si="2"/>
        <v>list of RE-POST's</v>
      </c>
      <c r="D63" t="s">
        <v>396</v>
      </c>
    </row>
    <row r="64" spans="1:5" x14ac:dyDescent="0.2">
      <c r="A64" t="str">
        <f>HYPERLINK("https://ftp.gnome.org", "https://ftp.gnome.org")</f>
        <v>https://ftp.gnome.org</v>
      </c>
      <c r="B64" t="s">
        <v>5</v>
      </c>
      <c r="C64" t="str">
        <f t="shared" si="2"/>
        <v>list of RE-POST's</v>
      </c>
      <c r="D64" t="s">
        <v>396</v>
      </c>
    </row>
    <row r="65" spans="1:4" x14ac:dyDescent="0.2">
      <c r="A65" t="str">
        <f>HYPERLINK("https://galactic.to", "https://galactic.to")</f>
        <v>https://galactic.to</v>
      </c>
      <c r="B65" t="s">
        <v>5</v>
      </c>
      <c r="C65" t="str">
        <f t="shared" si="2"/>
        <v>list of RE-POST's</v>
      </c>
      <c r="D65" t="s">
        <v>396</v>
      </c>
    </row>
    <row r="66" spans="1:4" x14ac:dyDescent="0.2">
      <c r="A66" t="str">
        <f>HYPERLINK("https://gmsh.info", "https://gmsh.info")</f>
        <v>https://gmsh.info</v>
      </c>
      <c r="B66" t="s">
        <v>5</v>
      </c>
      <c r="C66" t="str">
        <f t="shared" si="2"/>
        <v>list of RE-POST's</v>
      </c>
      <c r="D66" t="s">
        <v>396</v>
      </c>
    </row>
    <row r="67" spans="1:4" x14ac:dyDescent="0.2">
      <c r="A67" t="str">
        <f>HYPERLINK("https://img.cs.montana.edu", "https://img.cs.montana.edu")</f>
        <v>https://img.cs.montana.edu</v>
      </c>
      <c r="B67" t="s">
        <v>5</v>
      </c>
      <c r="C67" t="str">
        <f t="shared" si="2"/>
        <v>list of RE-POST's</v>
      </c>
      <c r="D67" t="s">
        <v>396</v>
      </c>
    </row>
    <row r="68" spans="1:4" x14ac:dyDescent="0.2">
      <c r="A68" t="str">
        <f>HYPERLINK("https://incoherency.co.uk", "https://incoherency.co.uk")</f>
        <v>https://incoherency.co.uk</v>
      </c>
      <c r="B68" t="s">
        <v>5</v>
      </c>
      <c r="C68" t="str">
        <f t="shared" si="2"/>
        <v>list of RE-POST's</v>
      </c>
      <c r="D68" t="s">
        <v>396</v>
      </c>
    </row>
    <row r="69" spans="1:4" x14ac:dyDescent="0.2">
      <c r="A69" t="str">
        <f>HYPERLINK("https://legacymediastreams.com", "https://legacymediastreams.com")</f>
        <v>https://legacymediastreams.com</v>
      </c>
      <c r="B69" t="s">
        <v>5</v>
      </c>
      <c r="C69" t="str">
        <f t="shared" si="2"/>
        <v>list of RE-POST's</v>
      </c>
      <c r="D69" t="s">
        <v>396</v>
      </c>
    </row>
    <row r="70" spans="1:4" x14ac:dyDescent="0.2">
      <c r="A70" t="str">
        <f>HYPERLINK("https://media.xiph.org", "https://media.xiph.org")</f>
        <v>https://media.xiph.org</v>
      </c>
      <c r="B70" t="s">
        <v>5</v>
      </c>
      <c r="C70" t="str">
        <f t="shared" si="2"/>
        <v>list of RE-POST's</v>
      </c>
      <c r="D70" t="s">
        <v>396</v>
      </c>
    </row>
    <row r="71" spans="1:4" x14ac:dyDescent="0.2">
      <c r="A71" t="str">
        <f>HYPERLINK("https://modland.com", "https://modland.com")</f>
        <v>https://modland.com</v>
      </c>
      <c r="B71" t="s">
        <v>5</v>
      </c>
      <c r="C71" t="str">
        <f t="shared" si="2"/>
        <v>list of RE-POST's</v>
      </c>
      <c r="D71" t="s">
        <v>396</v>
      </c>
    </row>
    <row r="72" spans="1:4" x14ac:dyDescent="0.2">
      <c r="A72" t="str">
        <f>HYPERLINK("https://pics.yougave.me", "https://pics.yougave.me")</f>
        <v>https://pics.yougave.me</v>
      </c>
      <c r="B72" t="s">
        <v>5</v>
      </c>
      <c r="C72" t="str">
        <f t="shared" si="2"/>
        <v>list of RE-POST's</v>
      </c>
      <c r="D72" t="s">
        <v>396</v>
      </c>
    </row>
    <row r="73" spans="1:4" x14ac:dyDescent="0.2">
      <c r="A73" t="str">
        <f>HYPERLINK("https://repo.steampowered.com", "https://repo.steampowered.com")</f>
        <v>https://repo.steampowered.com</v>
      </c>
      <c r="B73" t="s">
        <v>5</v>
      </c>
      <c r="C73" t="str">
        <f t="shared" si="2"/>
        <v>list of RE-POST's</v>
      </c>
      <c r="D73" t="s">
        <v>396</v>
      </c>
    </row>
    <row r="74" spans="1:4" x14ac:dyDescent="0.2">
      <c r="A74" t="str">
        <f>HYPERLINK("https://rootjunkysdl.com", "https://rootjunkysdl.com")</f>
        <v>https://rootjunkysdl.com</v>
      </c>
      <c r="B74" t="s">
        <v>5</v>
      </c>
      <c r="C74" t="str">
        <f t="shared" si="2"/>
        <v>list of RE-POST's</v>
      </c>
      <c r="D74" t="s">
        <v>396</v>
      </c>
    </row>
    <row r="75" spans="1:4" x14ac:dyDescent="0.2">
      <c r="A75" t="str">
        <f>HYPERLINK("https://www.bookofthedead.ws", "https://www.bookofthedead.ws")</f>
        <v>https://www.bookofthedead.ws</v>
      </c>
      <c r="B75" t="s">
        <v>5</v>
      </c>
      <c r="C75" t="str">
        <f t="shared" si="2"/>
        <v>list of RE-POST's</v>
      </c>
      <c r="D75" t="s">
        <v>396</v>
      </c>
    </row>
    <row r="76" spans="1:4" x14ac:dyDescent="0.2">
      <c r="A76" t="str">
        <f>HYPERLINK("https://www.danielpeart.net", "https://www.danielpeart.net")</f>
        <v>https://www.danielpeart.net</v>
      </c>
      <c r="B76" t="s">
        <v>5</v>
      </c>
      <c r="C76" t="str">
        <f t="shared" si="2"/>
        <v>list of RE-POST's</v>
      </c>
      <c r="D76" t="s">
        <v>396</v>
      </c>
    </row>
    <row r="77" spans="1:4" x14ac:dyDescent="0.2">
      <c r="A77" t="str">
        <f>HYPERLINK("https://www.gamers.org", "https://www.gamers.org")</f>
        <v>https://www.gamers.org</v>
      </c>
      <c r="B77" t="s">
        <v>5</v>
      </c>
      <c r="C77" t="str">
        <f t="shared" si="2"/>
        <v>list of RE-POST's</v>
      </c>
      <c r="D77" t="s">
        <v>396</v>
      </c>
    </row>
    <row r="78" spans="1:4" x14ac:dyDescent="0.2">
      <c r="A78" t="str">
        <f>HYPERLINK("https://www.vivagamers.com", "https://www.vivagamers.com")</f>
        <v>https://www.vivagamers.com</v>
      </c>
      <c r="B78" t="s">
        <v>5</v>
      </c>
      <c r="C78" t="str">
        <f t="shared" si="2"/>
        <v>list of RE-POST's</v>
      </c>
      <c r="D78" t="s">
        <v>396</v>
      </c>
    </row>
    <row r="79" spans="1:4" x14ac:dyDescent="0.2">
      <c r="A79" t="str">
        <f>HYPERLINK("https://www.xbmcmods.com", "https://www.xbmcmods.com")</f>
        <v>https://www.xbmcmods.com</v>
      </c>
      <c r="B79" t="s">
        <v>5</v>
      </c>
      <c r="C79" t="str">
        <f t="shared" si="2"/>
        <v>list of RE-POST's</v>
      </c>
      <c r="D79" t="s">
        <v>396</v>
      </c>
    </row>
    <row r="80" spans="1:4" x14ac:dyDescent="0.2">
      <c r="A80" t="str">
        <f>HYPERLINK("http://wakaba.c3.cx/iitran", "http://wakaba.c3.cx/iitran")</f>
        <v>http://wakaba.c3.cx/iitran</v>
      </c>
      <c r="B80" t="s">
        <v>5</v>
      </c>
      <c r="C80" t="str">
        <f>HYPERLINK("https://www.reddit.com/r/opendirectories/comments/ahsypt", "a few (stress Few) mangas.")</f>
        <v>a few (stress Few) mangas.</v>
      </c>
      <c r="D80" t="s">
        <v>676</v>
      </c>
    </row>
    <row r="81" spans="1:5" x14ac:dyDescent="0.2">
      <c r="A81" t="str">
        <f>HYPERLINK("https://datapacket.com", "https://datapacket.com")</f>
        <v>https://datapacket.com</v>
      </c>
      <c r="B81" t="s">
        <v>5</v>
      </c>
      <c r="C81" t="str">
        <f>HYPERLINK("https://www.reddit.com/r/opendirectories/comments/92fnzh", "Revamped Fusker System - View Open Directory Images @ The-Eye")</f>
        <v>Revamped Fusker System - View Open Directory Images @ The-Eye</v>
      </c>
      <c r="D81" t="s">
        <v>161</v>
      </c>
    </row>
    <row r="82" spans="1:5" x14ac:dyDescent="0.2">
      <c r="A82" t="str">
        <f>HYPERLINK("http://www.hellmark.org/downloads", "http://www.hellmark.org/downloads")</f>
        <v>http://www.hellmark.org/downloads</v>
      </c>
      <c r="B82" t="s">
        <v>5</v>
      </c>
      <c r="C82" t="str">
        <f>HYPERLINK("https://www.reddit.com/r/opendirectories/comments/8kv6pw", "Bleach Manga 1-279 English CBZ")</f>
        <v>Bleach Manga 1-279 English CBZ</v>
      </c>
      <c r="D82" t="s">
        <v>677</v>
      </c>
      <c r="E82" t="s">
        <v>14</v>
      </c>
    </row>
    <row r="83" spans="1:5" x14ac:dyDescent="0.2">
      <c r="A83" t="str">
        <f>HYPERLINK("http://people.dm.unipi.it/caboara", "http://people.dm.unipi.it/caboara")</f>
        <v>http://people.dm.unipi.it/caboara</v>
      </c>
      <c r="B83" t="s">
        <v>5</v>
      </c>
      <c r="C83" t="str">
        <f>HYPERLINK("https://www.reddit.com/r/opendirectories/comments/8kjwxs", "[BOOKS] Grandville Comics - Volumes 01-04 - Dark Horse (Digital) (CBR)")</f>
        <v>[BOOKS] Grandville Comics - Volumes 01-04 - Dark Horse (Digital) (CBR)</v>
      </c>
      <c r="D83" t="s">
        <v>496</v>
      </c>
    </row>
    <row r="84" spans="1:5" x14ac:dyDescent="0.2">
      <c r="A84" t="str">
        <f>HYPERLINK("https://10gbps.io", "https://10gbps.io")</f>
        <v>https://10gbps.io</v>
      </c>
      <c r="B84" t="s">
        <v>5</v>
      </c>
      <c r="C84" t="str">
        <f>HYPERLINK("https://www.reddit.com/r/opendirectories/comments/7gs0f2", "Google Index Search Engine @ The-Eye")</f>
        <v>Google Index Search Engine @ The-Eye</v>
      </c>
      <c r="D84" t="s">
        <v>346</v>
      </c>
    </row>
    <row r="85" spans="1:5" x14ac:dyDescent="0.2">
      <c r="A85" t="str">
        <f>HYPERLINK("http://home.konkere.ru", "http://home.konkere.ru")</f>
        <v>http://home.konkere.ru</v>
      </c>
      <c r="B85" t="s">
        <v>5</v>
      </c>
      <c r="C85" t="str">
        <f>HYPERLINK("https://www.reddit.com/r/opendirectories/comments/40ulz9", "Manga &amp;amp; Comics Directory")</f>
        <v>Manga &amp;amp; Comics Directory</v>
      </c>
      <c r="D85" t="s">
        <v>229</v>
      </c>
    </row>
    <row r="86" spans="1:5" x14ac:dyDescent="0.2">
      <c r="A86" t="str">
        <f>HYPERLINK("http://ranger.befunk.com", "http://ranger.befunk.com")</f>
        <v>http://ranger.befunk.com</v>
      </c>
      <c r="B86" t="s">
        <v>5</v>
      </c>
      <c r="C86" t="str">
        <f>HYPERLINK("https://www.reddit.com/r/opendirectories/comments/3lm4gy", "/u/wearehidden's directory dump (with more organization / info)")</f>
        <v>/u/wearehidden's directory dump (with more organization / info)</v>
      </c>
      <c r="D86" t="s">
        <v>358</v>
      </c>
      <c r="E86" t="s">
        <v>359</v>
      </c>
    </row>
    <row r="87" spans="1:5" x14ac:dyDescent="0.2">
      <c r="A87" t="str">
        <f>HYPERLINK("http://test.anom.ca", "http://test.anom.ca")</f>
        <v>http://test.anom.ca</v>
      </c>
      <c r="B87" t="s">
        <v>5</v>
      </c>
      <c r="C87" t="str">
        <f>HYPERLINK("https://www.reddit.com/r/opendirectories/comments/3bcr5a", "Comics")</f>
        <v>Comics</v>
      </c>
      <c r="D87" t="s">
        <v>433</v>
      </c>
    </row>
  </sheetData>
  <pageMargins left="0.75" right="0.75" top="1" bottom="1" header="0.511811023622047" footer="0.511811023622047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86"/>
  <sheetViews>
    <sheetView zoomScaleNormal="100" workbookViewId="0"/>
  </sheetViews>
  <sheetFormatPr baseColWidth="10" defaultColWidth="8.83203125" defaultRowHeight="15" x14ac:dyDescent="0.2"/>
  <cols>
    <col min="1" max="1" width="50" customWidth="1"/>
    <col min="3" max="3" width="80" customWidth="1"/>
    <col min="4" max="4" width="11" customWidth="1"/>
    <col min="5" max="5" width="80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tr">
        <f>HYPERLINK("http://ingar.intranifty.net", "http://ingar.intranifty.net")</f>
        <v>http://ingar.intranifty.net</v>
      </c>
      <c r="B2" t="s">
        <v>5</v>
      </c>
      <c r="C2" t="str">
        <f t="shared" ref="C2:C10" si="0">HYPERLINK("https://www.reddit.com/r/opendirectories/comments/pp71gr", "2021-09-16 Daily post")</f>
        <v>2021-09-16 Daily post</v>
      </c>
      <c r="D2" t="s">
        <v>7</v>
      </c>
    </row>
    <row r="3" spans="1:5" x14ac:dyDescent="0.2">
      <c r="A3" t="str">
        <f>HYPERLINK("http://www.huzheng.org", "http://www.huzheng.org")</f>
        <v>http://www.huzheng.org</v>
      </c>
      <c r="B3" t="s">
        <v>5</v>
      </c>
      <c r="C3" t="str">
        <f t="shared" si="0"/>
        <v>2021-09-16 Daily post</v>
      </c>
      <c r="D3" t="s">
        <v>7</v>
      </c>
    </row>
    <row r="4" spans="1:5" x14ac:dyDescent="0.2">
      <c r="A4" t="str">
        <f>HYPERLINK("http://markburgess.org/music", "http://markburgess.org/music")</f>
        <v>http://markburgess.org/music</v>
      </c>
      <c r="B4" t="s">
        <v>5</v>
      </c>
      <c r="C4" t="str">
        <f t="shared" si="0"/>
        <v>2021-09-16 Daily post</v>
      </c>
      <c r="D4" t="s">
        <v>7</v>
      </c>
    </row>
    <row r="5" spans="1:5" x14ac:dyDescent="0.2">
      <c r="A5" t="str">
        <f>HYPERLINK("https://www.backtracking-music.de/uranus", "https://www.backtracking-music.de/uranus")</f>
        <v>https://www.backtracking-music.de/uranus</v>
      </c>
      <c r="B5" t="s">
        <v>5</v>
      </c>
      <c r="C5" t="str">
        <f t="shared" si="0"/>
        <v>2021-09-16 Daily post</v>
      </c>
      <c r="D5" t="s">
        <v>7</v>
      </c>
    </row>
    <row r="6" spans="1:5" x14ac:dyDescent="0.2">
      <c r="A6" t="str">
        <f>HYPERLINK("https://musicinsideout.wwno.org/audio", "https://musicinsideout.wwno.org/audio")</f>
        <v>https://musicinsideout.wwno.org/audio</v>
      </c>
      <c r="B6" t="s">
        <v>5</v>
      </c>
      <c r="C6" t="str">
        <f t="shared" si="0"/>
        <v>2021-09-16 Daily post</v>
      </c>
      <c r="D6" t="s">
        <v>7</v>
      </c>
    </row>
    <row r="7" spans="1:5" x14ac:dyDescent="0.2">
      <c r="A7" t="str">
        <f>HYPERLINK("https://music.maxton.xyz/tracks", "https://music.maxton.xyz/tracks")</f>
        <v>https://music.maxton.xyz/tracks</v>
      </c>
      <c r="B7" t="s">
        <v>5</v>
      </c>
      <c r="C7" t="str">
        <f t="shared" si="0"/>
        <v>2021-09-16 Daily post</v>
      </c>
      <c r="D7" t="s">
        <v>7</v>
      </c>
    </row>
    <row r="8" spans="1:5" x14ac:dyDescent="0.2">
      <c r="A8" t="str">
        <f>HYPERLINK("http://scipp.ucsc.edu/~profumo/misc", "http://scipp.ucsc.edu/~profumo/misc")</f>
        <v>http://scipp.ucsc.edu/~profumo/misc</v>
      </c>
      <c r="B8" t="s">
        <v>5</v>
      </c>
      <c r="C8" t="str">
        <f t="shared" si="0"/>
        <v>2021-09-16 Daily post</v>
      </c>
      <c r="D8" t="s">
        <v>7</v>
      </c>
    </row>
    <row r="9" spans="1:5" x14ac:dyDescent="0.2">
      <c r="A9" t="str">
        <f>HYPERLINK("https://people.duke.edu/~ajk17", "https://people.duke.edu/~ajk17")</f>
        <v>https://people.duke.edu/~ajk17</v>
      </c>
      <c r="B9" t="s">
        <v>5</v>
      </c>
      <c r="C9" t="str">
        <f t="shared" si="0"/>
        <v>2021-09-16 Daily post</v>
      </c>
      <c r="D9" t="s">
        <v>7</v>
      </c>
    </row>
    <row r="10" spans="1:5" x14ac:dyDescent="0.2">
      <c r="A10" t="str">
        <f>HYPERLINK("http://socialdance.stanford.edu/music", "http://socialdance.stanford.edu/music")</f>
        <v>http://socialdance.stanford.edu/music</v>
      </c>
      <c r="B10" t="s">
        <v>5</v>
      </c>
      <c r="C10" t="str">
        <f t="shared" si="0"/>
        <v>2021-09-16 Daily post</v>
      </c>
      <c r="D10" t="s">
        <v>7</v>
      </c>
    </row>
    <row r="11" spans="1:5" x14ac:dyDescent="0.2">
      <c r="A11" t="str">
        <f>HYPERLINK("http://nwifiresticks.com", "http://nwifiresticks.com")</f>
        <v>http://nwifiresticks.com</v>
      </c>
      <c r="B11" t="s">
        <v>5</v>
      </c>
      <c r="C11" t="str">
        <f>HYPERLINK("https://www.reddit.com/r/opendirectories/comments/mhdtw2", "Mixed Directories")</f>
        <v>Mixed Directories</v>
      </c>
      <c r="D11" t="s">
        <v>41</v>
      </c>
    </row>
    <row r="12" spans="1:5" x14ac:dyDescent="0.2">
      <c r="A12" t="str">
        <f>HYPERLINK("http://144.217.177.36:4742", "http://144.217.177.36:4742")</f>
        <v>http://144.217.177.36:4742</v>
      </c>
      <c r="B12" t="s">
        <v>5</v>
      </c>
      <c r="C12" t="str">
        <f>HYPERLINK("https://www.reddit.com/r/opendirectories/comments/kwctmn", "Movies/TV/Anime/Apps/Audiobooks/Ebooks/Games/Movies/Music -- Something for everyone!!")</f>
        <v>Movies/TV/Anime/Apps/Audiobooks/Ebooks/Games/Movies/Music -- Something for everyone!!</v>
      </c>
      <c r="D12" t="s">
        <v>365</v>
      </c>
    </row>
    <row r="13" spans="1:5" x14ac:dyDescent="0.2">
      <c r="A13" t="str">
        <f>HYPERLINK("http://144.76.82.6:8090", "http://144.76.82.6:8090")</f>
        <v>http://144.76.82.6:8090</v>
      </c>
      <c r="B13" t="s">
        <v>5</v>
      </c>
      <c r="C13" t="str">
        <f>HYPERLINK("https://www.reddit.com/r/opendirectories/comments/oxqa3c", "games, books, movies and Japanese cartoons")</f>
        <v>games, books, movies and Japanese cartoons</v>
      </c>
      <c r="D13" t="s">
        <v>17</v>
      </c>
      <c r="E13" t="s">
        <v>63</v>
      </c>
    </row>
    <row r="14" spans="1:5" x14ac:dyDescent="0.2">
      <c r="A14" t="str">
        <f>HYPERLINK("http://87.89.227.77", "http://87.89.227.77")</f>
        <v>http://87.89.227.77</v>
      </c>
      <c r="B14" t="s">
        <v>5</v>
      </c>
      <c r="C14" t="str">
        <f>HYPERLINK("https://www.reddit.com/r/opendirectories/comments/owjf7x", "Ebooks, Windows Games, TV Shows, Movies")</f>
        <v>Ebooks, Windows Games, TV Shows, Movies</v>
      </c>
      <c r="D14" t="s">
        <v>18</v>
      </c>
    </row>
    <row r="15" spans="1:5" x14ac:dyDescent="0.2">
      <c r="A15" t="str">
        <f>HYPERLINK("https://backup.kjeks.io/Screenshots", "https://backup.kjeks.io/Screenshots")</f>
        <v>https://backup.kjeks.io/Screenshots</v>
      </c>
      <c r="B15" t="s">
        <v>5</v>
      </c>
      <c r="C15" t="str">
        <f>HYPERLINK("https://www.reddit.com/r/opendirectories/comments/owjd6u", "Ebooks, Movies, OS ISOs, CCNA resources, Windows Apps/Games")</f>
        <v>Ebooks, Movies, OS ISOs, CCNA resources, Windows Apps/Games</v>
      </c>
      <c r="D15" t="s">
        <v>18</v>
      </c>
    </row>
    <row r="16" spans="1:5" x14ac:dyDescent="0.2">
      <c r="A16" t="str">
        <f>HYPERLINK("https://files.cbps.xyz", "https://files.cbps.xyz")</f>
        <v>https://files.cbps.xyz</v>
      </c>
      <c r="B16" t="s">
        <v>5</v>
      </c>
      <c r="C16" t="str">
        <f>HYPERLINK("https://www.reddit.com/r/opendirectories/comments/outx0s", "ISOs, ROMs, Anime, Clickbait Videos, IPod tools")</f>
        <v>ISOs, ROMs, Anime, Clickbait Videos, IPod tools</v>
      </c>
      <c r="D16" t="s">
        <v>19</v>
      </c>
    </row>
    <row r="17" spans="1:4" x14ac:dyDescent="0.2">
      <c r="A17" t="str">
        <f>HYPERLINK("http://www.eazyhax.com/downloads", "http://www.eazyhax.com/downloads")</f>
        <v>http://www.eazyhax.com/downloads</v>
      </c>
      <c r="B17" t="s">
        <v>5</v>
      </c>
      <c r="C17" t="str">
        <f>HYPERLINK("https://www.reddit.com/r/opendirectories/comments/outr5i", "ROMs, PSX BIOS, PSVita apps")</f>
        <v>ROMs, PSX BIOS, PSVita apps</v>
      </c>
      <c r="D17" t="s">
        <v>19</v>
      </c>
    </row>
    <row r="18" spans="1:4" x14ac:dyDescent="0.2">
      <c r="A18" t="str">
        <f>HYPERLINK("http://www.pcmontseny.com", "http://www.pcmontseny.com")</f>
        <v>http://www.pcmontseny.com</v>
      </c>
      <c r="B18" t="s">
        <v>5</v>
      </c>
      <c r="C18" t="str">
        <f>HYPERLINK("https://www.reddit.com/r/opendirectories/comments/outkfm", "[SP] TV Shows, Apps, Switch ROMs")</f>
        <v>[SP] TV Shows, Apps, Switch ROMs</v>
      </c>
      <c r="D18" t="s">
        <v>19</v>
      </c>
    </row>
    <row r="19" spans="1:4" x14ac:dyDescent="0.2">
      <c r="A19" t="str">
        <f>HYPERLINK("http://danswer.stopspamming.net/sega", "http://danswer.stopspamming.net/sega")</f>
        <v>http://danswer.stopspamming.net/sega</v>
      </c>
      <c r="B19" t="s">
        <v>5</v>
      </c>
      <c r="C19" t="str">
        <f>HYPERLINK("https://www.reddit.com/r/opendirectories/comments/outj3u", "Sega Genesis Roms")</f>
        <v>Sega Genesis Roms</v>
      </c>
      <c r="D19" t="s">
        <v>19</v>
      </c>
    </row>
    <row r="20" spans="1:4" x14ac:dyDescent="0.2">
      <c r="A20" t="str">
        <f>HYPERLINK("https://download.apkbolt.com/apk", "https://download.apkbolt.com/apk")</f>
        <v>https://download.apkbolt.com/apk</v>
      </c>
      <c r="B20" t="s">
        <v>5</v>
      </c>
      <c r="C20" t="str">
        <f>HYPERLINK("https://www.reddit.com/r/opendirectories/comments/oun37t", "Android Apps &amp;amp; Games (Some Modded)")</f>
        <v>Android Apps &amp;amp; Games (Some Modded)</v>
      </c>
      <c r="D20" t="s">
        <v>19</v>
      </c>
    </row>
    <row r="21" spans="1:4" x14ac:dyDescent="0.2">
      <c r="A21" t="str">
        <f>HYPERLINK("http://85.17.156.33", "http://85.17.156.33")</f>
        <v>http://85.17.156.33</v>
      </c>
      <c r="B21" t="s">
        <v>5</v>
      </c>
      <c r="C21" t="str">
        <f>HYPERLINK("https://www.reddit.com/r/opendirectories/comments/oumyj3", "Windows Games, Movies, TV Shows, &amp;amp; Music")</f>
        <v>Windows Games, Movies, TV Shows, &amp;amp; Music</v>
      </c>
      <c r="D21" t="s">
        <v>19</v>
      </c>
    </row>
    <row r="22" spans="1:4" x14ac:dyDescent="0.2">
      <c r="A22" t="str">
        <f>HYPERLINK("http://dl.gold-team.ir", "http://dl.gold-team.ir")</f>
        <v>http://dl.gold-team.ir</v>
      </c>
      <c r="B22" t="s">
        <v>5</v>
      </c>
      <c r="C22" t="str">
        <f>HYPERLINK("https://www.reddit.com/r/opendirectories/comments/oumus5", "More Windows Games")</f>
        <v>More Windows Games</v>
      </c>
      <c r="D22" t="s">
        <v>19</v>
      </c>
    </row>
    <row r="23" spans="1:4" x14ac:dyDescent="0.2">
      <c r="A23" t="str">
        <f>HYPERLINK("https://dl5.win2farsi.com", "https://dl5.win2farsi.com")</f>
        <v>https://dl5.win2farsi.com</v>
      </c>
      <c r="B23" t="s">
        <v>5</v>
      </c>
      <c r="C23" t="str">
        <f>HYPERLINK("https://www.reddit.com/r/opendirectories/comments/oumosf", "Windows Apps, Games, Movies, TV Shows")</f>
        <v>Windows Apps, Games, Movies, TV Shows</v>
      </c>
      <c r="D23" t="s">
        <v>19</v>
      </c>
    </row>
    <row r="24" spans="1:4" x14ac:dyDescent="0.2">
      <c r="A24" t="str">
        <f>HYPERLINK("https://www.sohaibxtreme.net/FDL", "https://www.sohaibxtreme.net/FDL")</f>
        <v>https://www.sohaibxtreme.net/FDL</v>
      </c>
      <c r="B24" t="s">
        <v>5</v>
      </c>
      <c r="C24" t="str">
        <f>HYPERLINK("https://www.reddit.com/r/opendirectories/comments/oumka4", "Windows Games (Cracks Only), Apps, and Movies")</f>
        <v>Windows Games (Cracks Only), Apps, and Movies</v>
      </c>
      <c r="D24" t="s">
        <v>19</v>
      </c>
    </row>
    <row r="25" spans="1:4" x14ac:dyDescent="0.2">
      <c r="A25" t="str">
        <f>HYPERLINK("http://dl.bia2game.com", "http://dl.bia2game.com")</f>
        <v>http://dl.bia2game.com</v>
      </c>
      <c r="B25" t="s">
        <v>5</v>
      </c>
      <c r="C25" t="str">
        <f>HYPERLINK("https://www.reddit.com/r/opendirectories/comments/oumbxd", "Windows Games, Apps, Guides, and Wallpapers")</f>
        <v>Windows Games, Apps, Guides, and Wallpapers</v>
      </c>
      <c r="D25" t="s">
        <v>19</v>
      </c>
    </row>
    <row r="26" spans="1:4" x14ac:dyDescent="0.2">
      <c r="A26" t="str">
        <f>HYPERLINK("http://www4.hcmut.edu.vn/~honhuynh", "http://www4.hcmut.edu.vn/~honhuynh")</f>
        <v>http://www4.hcmut.edu.vn/~honhuynh</v>
      </c>
      <c r="B26" t="s">
        <v>5</v>
      </c>
      <c r="C26" t="str">
        <f>HYPERLINK("https://www.reddit.com/r/opendirectories/comments/oum8jj", "Windows Applications &amp;amp; Popcap Games")</f>
        <v>Windows Applications &amp;amp; Popcap Games</v>
      </c>
      <c r="D26" t="s">
        <v>19</v>
      </c>
    </row>
    <row r="27" spans="1:4" x14ac:dyDescent="0.2">
      <c r="A27" t="str">
        <f>HYPERLINK("http://s5.gamingmaster.ir", "http://s5.gamingmaster.ir")</f>
        <v>http://s5.gamingmaster.ir</v>
      </c>
      <c r="B27" t="s">
        <v>5</v>
      </c>
      <c r="C27" t="str">
        <f>HYPERLINK("https://www.reddit.com/r/opendirectories/comments/oulzjm", "Windows Games")</f>
        <v>Windows Games</v>
      </c>
      <c r="D27" t="s">
        <v>19</v>
      </c>
    </row>
    <row r="28" spans="1:4" x14ac:dyDescent="0.2">
      <c r="A28" t="str">
        <f>HYPERLINK("http://android.staxi.com.ua", "http://android.staxi.com.ua")</f>
        <v>http://android.staxi.com.ua</v>
      </c>
      <c r="B28" t="s">
        <v>5</v>
      </c>
      <c r="C28" t="str">
        <f>HYPERLINK("https://www.reddit.com/r/opendirectories/comments/ouloe2", "Collection of android apps &amp;amp; games")</f>
        <v>Collection of android apps &amp;amp; games</v>
      </c>
      <c r="D28" t="s">
        <v>19</v>
      </c>
    </row>
    <row r="29" spans="1:4" x14ac:dyDescent="0.2">
      <c r="A29" t="str">
        <f>HYPERLINK("http://76.242.29.107", "http://76.242.29.107")</f>
        <v>http://76.242.29.107</v>
      </c>
      <c r="B29" t="s">
        <v>5</v>
      </c>
      <c r="C29" t="str">
        <f>HYPERLINK("https://www.reddit.com/r/opendirectories/comments/ou695k", "Apps, Games, Movies, Anime, TV Shows, etc")</f>
        <v>Apps, Games, Movies, Anime, TV Shows, etc</v>
      </c>
      <c r="D29" t="s">
        <v>20</v>
      </c>
    </row>
    <row r="30" spans="1:4" x14ac:dyDescent="0.2">
      <c r="A30" t="str">
        <f>HYPERLINK("http://jerryching.spdns.de/Software", "http://jerryching.spdns.de/Software")</f>
        <v>http://jerryching.spdns.de/Software</v>
      </c>
      <c r="B30" t="s">
        <v>5</v>
      </c>
      <c r="C30" t="str">
        <f>HYPERLINK("https://www.reddit.com/r/opendirectories/comments/ou5nne", "Windows Software &amp;amp; Games")</f>
        <v>Windows Software &amp;amp; Games</v>
      </c>
      <c r="D30" t="s">
        <v>20</v>
      </c>
    </row>
    <row r="31" spans="1:4" x14ac:dyDescent="0.2">
      <c r="A31" t="str">
        <f>HYPERLINK("http://home.darkok.xyz", "http://home.darkok.xyz")</f>
        <v>http://home.darkok.xyz</v>
      </c>
      <c r="B31" t="s">
        <v>5</v>
      </c>
      <c r="C31" t="str">
        <f>HYPERLINK("https://www.reddit.com/r/opendirectories/comments/ou2d27", "Music, Flash animations, and Games")</f>
        <v>Music, Flash animations, and Games</v>
      </c>
      <c r="D31" t="s">
        <v>20</v>
      </c>
    </row>
    <row r="32" spans="1:4" x14ac:dyDescent="0.2">
      <c r="A32" t="str">
        <f>HYPERLINK("http://romcollector.asuscomm.com", "http://romcollector.asuscomm.com")</f>
        <v>http://romcollector.asuscomm.com</v>
      </c>
      <c r="B32" t="s">
        <v>5</v>
      </c>
      <c r="C32" t="str">
        <f>HYPERLINK("https://www.reddit.com/r/opendirectories/comments/osolkg", "ROMs")</f>
        <v>ROMs</v>
      </c>
      <c r="D32" t="s">
        <v>518</v>
      </c>
    </row>
    <row r="33" spans="1:5" x14ac:dyDescent="0.2">
      <c r="A33" t="str">
        <f>HYPERLINK("http://sojourner.me/fastdl", "http://sojourner.me/fastdl")</f>
        <v>http://sojourner.me/fastdl</v>
      </c>
      <c r="B33" t="s">
        <v>5</v>
      </c>
      <c r="C33" t="str">
        <f>HYPERLINK("https://www.reddit.com/r/opendirectories/comments/osnt9q", "NES ROMs, Windows 2000, and BHOP maps")</f>
        <v>NES ROMs, Windows 2000, and BHOP maps</v>
      </c>
      <c r="D33" t="s">
        <v>518</v>
      </c>
    </row>
    <row r="34" spans="1:5" x14ac:dyDescent="0.2">
      <c r="A34" t="str">
        <f>HYPERLINK("http://kuzpo.kapsi.fi", "http://kuzpo.kapsi.fi")</f>
        <v>http://kuzpo.kapsi.fi</v>
      </c>
      <c r="B34" t="s">
        <v>5</v>
      </c>
      <c r="C34" t="str">
        <f>HYPERLINK("https://www.reddit.com/r/opendirectories/comments/osn13m", "ROMs")</f>
        <v>ROMs</v>
      </c>
      <c r="D34" t="s">
        <v>518</v>
      </c>
    </row>
    <row r="35" spans="1:5" x14ac:dyDescent="0.2">
      <c r="A35" t="str">
        <f>HYPERLINK("https://fneu.fr/android", "https://fneu.fr/android")</f>
        <v>https://fneu.fr/android</v>
      </c>
      <c r="B35" t="s">
        <v>5</v>
      </c>
      <c r="C35" t="str">
        <f>HYPERLINK("https://www.reddit.com/r/opendirectories/comments/osmme8", "APKs, ROMs, Soundtracks")</f>
        <v>APKs, ROMs, Soundtracks</v>
      </c>
      <c r="D35" t="s">
        <v>518</v>
      </c>
    </row>
    <row r="36" spans="1:5" x14ac:dyDescent="0.2">
      <c r="A36" t="str">
        <f>HYPERLINK("https://talentedmonkey.net", "https://talentedmonkey.net")</f>
        <v>https://talentedmonkey.net</v>
      </c>
      <c r="B36" t="s">
        <v>5</v>
      </c>
      <c r="C36" t="str">
        <f>HYPERLINK("https://www.reddit.com/r/opendirectories/comments/osmkcg", "Roms/Emulators")</f>
        <v>Roms/Emulators</v>
      </c>
      <c r="D36" t="s">
        <v>518</v>
      </c>
    </row>
    <row r="37" spans="1:5" x14ac:dyDescent="0.2">
      <c r="A37" t="str">
        <f>HYPERLINK("http://ed64m.com/N64", "http://ed64m.com/N64")</f>
        <v>http://ed64m.com/N64</v>
      </c>
      <c r="B37" t="s">
        <v>5</v>
      </c>
      <c r="C37" t="str">
        <f>HYPERLINK("https://www.reddit.com/r/opendirectories/comments/osmi2o", "ROM collection")</f>
        <v>ROM collection</v>
      </c>
      <c r="D37" t="s">
        <v>518</v>
      </c>
    </row>
    <row r="38" spans="1:5" x14ac:dyDescent="0.2">
      <c r="A38" t="str">
        <f>HYPERLINK("http://triiptv.com", "http://triiptv.com")</f>
        <v>http://triiptv.com</v>
      </c>
      <c r="B38" t="s">
        <v>5</v>
      </c>
      <c r="C38" t="str">
        <f>HYPERLINK("https://www.reddit.com/r/opendirectories/comments/osmg4k", "APKs &amp;amp; ROMs")</f>
        <v>APKs &amp;amp; ROMs</v>
      </c>
      <c r="D38" t="s">
        <v>518</v>
      </c>
    </row>
    <row r="39" spans="1:5" x14ac:dyDescent="0.2">
      <c r="A39" t="str">
        <f>HYPERLINK("https://tartarus.feralhosting.com/firepig", "https://tartarus.feralhosting.com/firepig")</f>
        <v>https://tartarus.feralhosting.com/firepig</v>
      </c>
      <c r="B39" t="s">
        <v>5</v>
      </c>
      <c r="D39" t="s">
        <v>265</v>
      </c>
    </row>
    <row r="40" spans="1:5" x14ac:dyDescent="0.2">
      <c r="A40" t="str">
        <f>HYPERLINK("http://173.249.45.226", "http://173.249.45.226")</f>
        <v>http://173.249.45.226</v>
      </c>
      <c r="B40" t="s">
        <v>5</v>
      </c>
      <c r="C40" t="str">
        <f>HYPERLINK("https://www.reddit.com/r/opendirectories/comments/jsa626", "JAV Galore, Hentai, Amat, ...")</f>
        <v>JAV Galore, Hentai, Amat, ...</v>
      </c>
      <c r="D40" t="s">
        <v>266</v>
      </c>
    </row>
    <row r="41" spans="1:5" x14ac:dyDescent="0.2">
      <c r="A41" t="str">
        <f>HYPERLINK("http://master255.org", "http://master255.org")</f>
        <v>http://master255.org</v>
      </c>
      <c r="B41" t="s">
        <v>5</v>
      </c>
      <c r="C41" t="str">
        <f>HYPERLINK("https://www.reddit.com/r/opendirectories/comments/o7uvcv", "Collection of video games")</f>
        <v>Collection of video games</v>
      </c>
      <c r="D41" t="s">
        <v>267</v>
      </c>
    </row>
    <row r="42" spans="1:5" x14ac:dyDescent="0.2">
      <c r="A42" t="str">
        <f>HYPERLINK("http://www.gno.org/pub/apple2/gs.specific", "http://www.gno.org/pub/apple2/gs.specific")</f>
        <v>http://www.gno.org/pub/apple2/gs.specific</v>
      </c>
      <c r="B42" t="s">
        <v>5</v>
      </c>
      <c r="C42" t="str">
        <f>HYPERLINK("https://www.reddit.com/r/opendirectories/comments/ns6fvc", "infocom games for apple II")</f>
        <v>infocom games for apple II</v>
      </c>
      <c r="D42" t="s">
        <v>270</v>
      </c>
    </row>
    <row r="43" spans="1:5" x14ac:dyDescent="0.2">
      <c r="A43" t="str">
        <f>HYPERLINK("http://103.222.20.150/ftpdata", "http://103.222.20.150/ftpdata")</f>
        <v>http://103.222.20.150/ftpdata</v>
      </c>
      <c r="B43" t="s">
        <v>5</v>
      </c>
      <c r="C43" t="str">
        <f>HYPERLINK("https://www.reddit.com/r/opendirectories/comments/ns5d3w", "Random movies tv series")</f>
        <v>Random movies tv series</v>
      </c>
      <c r="D43" t="s">
        <v>270</v>
      </c>
      <c r="E43" t="s">
        <v>14</v>
      </c>
    </row>
    <row r="44" spans="1:5" x14ac:dyDescent="0.2">
      <c r="A44" t="str">
        <f>HYPERLINK("https://www.qsl.net/4/4x6on", "https://www.qsl.net/4/4x6on")</f>
        <v>https://www.qsl.net/4/4x6on</v>
      </c>
      <c r="B44" t="s">
        <v>5</v>
      </c>
      <c r="C44" t="str">
        <f t="shared" ref="C44:C50" si="1">HYPERLINK("https://www.reddit.com/r/opendirectories/comments/nlw3er", "Manuals &amp;amp; Schematics")</f>
        <v>Manuals &amp;amp; Schematics</v>
      </c>
      <c r="D44" t="s">
        <v>378</v>
      </c>
    </row>
    <row r="45" spans="1:5" x14ac:dyDescent="0.2">
      <c r="A45" t="str">
        <f>HYPERLINK("https://magicplay.eu", "https://magicplay.eu")</f>
        <v>https://magicplay.eu</v>
      </c>
      <c r="B45" t="s">
        <v>5</v>
      </c>
      <c r="C45" t="str">
        <f t="shared" si="1"/>
        <v>Manuals &amp;amp; Schematics</v>
      </c>
      <c r="D45" t="s">
        <v>378</v>
      </c>
    </row>
    <row r="46" spans="1:5" x14ac:dyDescent="0.2">
      <c r="A46" t="str">
        <f>HYPERLINK("http://roadraceengineering.com/ralliart", "http://roadraceengineering.com/ralliart")</f>
        <v>http://roadraceengineering.com/ralliart</v>
      </c>
      <c r="B46" t="s">
        <v>5</v>
      </c>
      <c r="C46" t="str">
        <f t="shared" si="1"/>
        <v>Manuals &amp;amp; Schematics</v>
      </c>
      <c r="D46" t="s">
        <v>378</v>
      </c>
    </row>
    <row r="47" spans="1:5" x14ac:dyDescent="0.2">
      <c r="A47" t="str">
        <f>HYPERLINK("http://toolsmith.ws/catalogs", "http://toolsmith.ws/catalogs")</f>
        <v>http://toolsmith.ws/catalogs</v>
      </c>
      <c r="B47" t="s">
        <v>5</v>
      </c>
      <c r="C47" t="str">
        <f t="shared" si="1"/>
        <v>Manuals &amp;amp; Schematics</v>
      </c>
      <c r="D47" t="s">
        <v>378</v>
      </c>
    </row>
    <row r="48" spans="1:5" x14ac:dyDescent="0.2">
      <c r="A48" t="str">
        <f>HYPERLINK("http://starin.info/Product%20Info", "http://starin.info/Product%20Info")</f>
        <v>http://starin.info/Product%20Info</v>
      </c>
      <c r="B48" t="s">
        <v>5</v>
      </c>
      <c r="C48" t="str">
        <f t="shared" si="1"/>
        <v>Manuals &amp;amp; Schematics</v>
      </c>
      <c r="D48" t="s">
        <v>378</v>
      </c>
    </row>
    <row r="49" spans="1:5" x14ac:dyDescent="0.2">
      <c r="A49" t="str">
        <f>HYPERLINK("https://www.marlow-hunter.com/wp-content/export", "https://www.marlow-hunter.com/wp-content/export")</f>
        <v>https://www.marlow-hunter.com/wp-content/export</v>
      </c>
      <c r="B49" t="s">
        <v>5</v>
      </c>
      <c r="C49" t="str">
        <f t="shared" si="1"/>
        <v>Manuals &amp;amp; Schematics</v>
      </c>
      <c r="D49" t="s">
        <v>378</v>
      </c>
    </row>
    <row r="50" spans="1:5" x14ac:dyDescent="0.2">
      <c r="A50" t="str">
        <f>HYPERLINK("https://files.bruggeman.tech/ham", "https://files.bruggeman.tech/ham")</f>
        <v>https://files.bruggeman.tech/ham</v>
      </c>
      <c r="B50" t="s">
        <v>5</v>
      </c>
      <c r="C50" t="str">
        <f t="shared" si="1"/>
        <v>Manuals &amp;amp; Schematics</v>
      </c>
      <c r="D50" t="s">
        <v>378</v>
      </c>
    </row>
    <row r="51" spans="1:5" x14ac:dyDescent="0.2">
      <c r="A51" t="str">
        <f>HYPERLINK("http://media.lenovo.ru/Files", "http://media.lenovo.ru/Files")</f>
        <v>http://media.lenovo.ru/Files</v>
      </c>
      <c r="B51" t="s">
        <v>5</v>
      </c>
      <c r="C51" t="str">
        <f>HYPERLINK("https://www.reddit.com/r/opendirectories/comments/nkajd9", "NICE COLLECTION")</f>
        <v>NICE COLLECTION</v>
      </c>
      <c r="D51" t="s">
        <v>375</v>
      </c>
      <c r="E51" t="s">
        <v>61</v>
      </c>
    </row>
    <row r="52" spans="1:5" x14ac:dyDescent="0.2">
      <c r="A52" t="str">
        <f>HYPERLINK("http://leone74.thoon.feralhosting.com", "http://leone74.thoon.feralhosting.com")</f>
        <v>http://leone74.thoon.feralhosting.com</v>
      </c>
      <c r="B52" t="s">
        <v>5</v>
      </c>
      <c r="C52" t="str">
        <f>HYPERLINK("https://www.reddit.com/r/opendirectories/comments/nkajd9", "NICE COLLECTION")</f>
        <v>NICE COLLECTION</v>
      </c>
      <c r="D52" t="s">
        <v>375</v>
      </c>
      <c r="E52" t="s">
        <v>61</v>
      </c>
    </row>
    <row r="53" spans="1:5" x14ac:dyDescent="0.2">
      <c r="A53" t="str">
        <f>HYPERLINK("http://59.152.105.235/Disk-1", "http://59.152.105.235/Disk-1")</f>
        <v>http://59.152.105.235/Disk-1</v>
      </c>
      <c r="B53" t="s">
        <v>5</v>
      </c>
      <c r="C53" t="str">
        <f>HYPERLINK("https://www.reddit.com/r/opendirectories/comments/nkajd9", "NICE COLLECTION")</f>
        <v>NICE COLLECTION</v>
      </c>
      <c r="D53" t="s">
        <v>375</v>
      </c>
      <c r="E53" t="s">
        <v>61</v>
      </c>
    </row>
    <row r="54" spans="1:5" x14ac:dyDescent="0.2">
      <c r="A54" t="str">
        <f>HYPERLINK("https://work.rezom.eu", "https://work.rezom.eu")</f>
        <v>https://work.rezom.eu</v>
      </c>
      <c r="B54" t="s">
        <v>5</v>
      </c>
      <c r="C54" t="str">
        <f>HYPERLINK("https://www.reddit.com/r/opendirectories/comments/nkajd9", "NICE COLLECTION")</f>
        <v>NICE COLLECTION</v>
      </c>
      <c r="D54" t="s">
        <v>375</v>
      </c>
      <c r="E54" t="s">
        <v>61</v>
      </c>
    </row>
    <row r="55" spans="1:5" x14ac:dyDescent="0.2">
      <c r="A55" t="str">
        <f>HYPERLINK("http://www.artemka.spb.ru", "http://www.artemka.spb.ru")</f>
        <v>http://www.artemka.spb.ru</v>
      </c>
      <c r="B55" t="s">
        <v>5</v>
      </c>
      <c r="C55" t="str">
        <f>HYPERLINK("https://www.reddit.com/r/opendirectories/comments/nkajd9", "NICE COLLECTION")</f>
        <v>NICE COLLECTION</v>
      </c>
      <c r="D55" t="s">
        <v>375</v>
      </c>
      <c r="E55" t="s">
        <v>61</v>
      </c>
    </row>
    <row r="56" spans="1:5" x14ac:dyDescent="0.2">
      <c r="A56" t="str">
        <f>HYPERLINK("https://valvearchive.com", "https://valvearchive.com")</f>
        <v>https://valvearchive.com</v>
      </c>
      <c r="B56" t="s">
        <v>5</v>
      </c>
      <c r="C56" t="str">
        <f>HYPERLINK("https://www.reddit.com/r/opendirectories/comments/gt4tt9", "Valve Archive Fan OD")</f>
        <v>Valve Archive Fan OD</v>
      </c>
      <c r="D56" t="s">
        <v>379</v>
      </c>
      <c r="E56" t="s">
        <v>61</v>
      </c>
    </row>
    <row r="57" spans="1:5" x14ac:dyDescent="0.2">
      <c r="A57" t="str">
        <f>HYPERLINK("https://playground.simpledreams.eu", "https://playground.simpledreams.eu")</f>
        <v>https://playground.simpledreams.eu</v>
      </c>
      <c r="B57" t="s">
        <v>5</v>
      </c>
      <c r="C57" t="str">
        <f>HYPERLINK("https://www.reddit.com/r/opendirectories/comments/ngwymm", "games, includes skifree")</f>
        <v>games, includes skifree</v>
      </c>
      <c r="D57" t="s">
        <v>29</v>
      </c>
    </row>
    <row r="58" spans="1:5" x14ac:dyDescent="0.2">
      <c r="A58" t="str">
        <f>HYPERLINK("https://programmes.leliene.eu", "https://programmes.leliene.eu")</f>
        <v>https://programmes.leliene.eu</v>
      </c>
      <c r="B58" t="s">
        <v>5</v>
      </c>
      <c r="C58" t="str">
        <f>HYPERLINK("https://www.reddit.com/r/opendirectories/comments/ndh97d", "Games and softwares")</f>
        <v>Games and softwares</v>
      </c>
      <c r="D58" t="s">
        <v>519</v>
      </c>
    </row>
    <row r="59" spans="1:5" x14ac:dyDescent="0.2">
      <c r="A59" t="str">
        <f>HYPERLINK("http://cacacla.sytes.net:8083", "http://cacacla.sytes.net:8083")</f>
        <v>http://cacacla.sytes.net:8083</v>
      </c>
      <c r="B59" t="s">
        <v>5</v>
      </c>
      <c r="C59" t="str">
        <f>HYPERLINK("https://www.reddit.com/r/opendirectories/comments/n0zjhx", "Mame roms")</f>
        <v>Mame roms</v>
      </c>
      <c r="D59" t="s">
        <v>674</v>
      </c>
    </row>
    <row r="60" spans="1:5" x14ac:dyDescent="0.2">
      <c r="A60" t="str">
        <f>HYPERLINK("http://abcmoviesbd.com/Data", "http://abcmoviesbd.com/Data")</f>
        <v>http://abcmoviesbd.com/Data</v>
      </c>
      <c r="B60" t="s">
        <v>5</v>
      </c>
      <c r="D60" t="s">
        <v>678</v>
      </c>
    </row>
    <row r="61" spans="1:5" x14ac:dyDescent="0.2">
      <c r="A61" t="str">
        <f>HYPERLINK("https://torrent.unix-kingdom.fr", "https://torrent.unix-kingdom.fr")</f>
        <v>https://torrent.unix-kingdom.fr</v>
      </c>
      <c r="B61" t="s">
        <v>5</v>
      </c>
      <c r="C61" t="str">
        <f>HYPERLINK("https://www.reddit.com/r/opendirectories/comments/ia94f6", "Movies in french")</f>
        <v>Movies in french</v>
      </c>
      <c r="D61" t="s">
        <v>385</v>
      </c>
      <c r="E61" t="s">
        <v>51</v>
      </c>
    </row>
    <row r="62" spans="1:5" x14ac:dyDescent="0.2">
      <c r="A62" t="str">
        <f>HYPERLINK("http://repo.tantrumtv.com/Roms", "http://repo.tantrumtv.com/Roms")</f>
        <v>http://repo.tantrumtv.com/Roms</v>
      </c>
      <c r="B62" t="s">
        <v>5</v>
      </c>
      <c r="C62" t="str">
        <f>HYPERLINK("https://www.reddit.com/r/opendirectories/comments/altqo4", "ROM Collections for Every Major System")</f>
        <v>ROM Collections for Every Major System</v>
      </c>
      <c r="D62" t="s">
        <v>619</v>
      </c>
    </row>
    <row r="63" spans="1:5" x14ac:dyDescent="0.2">
      <c r="A63" t="str">
        <f>HYPERLINK("http://content.segaxtreme.net", "http://content.segaxtreme.net")</f>
        <v>http://content.segaxtreme.net</v>
      </c>
      <c r="B63" t="s">
        <v>5</v>
      </c>
      <c r="C63" t="str">
        <f>HYPERLINK("https://www.reddit.com/r/opendirectories/comments/mhd9hh", "Games...?")</f>
        <v>Games...?</v>
      </c>
      <c r="D63" t="s">
        <v>41</v>
      </c>
    </row>
    <row r="64" spans="1:5" x14ac:dyDescent="0.2">
      <c r="A64" t="str">
        <f>HYPERLINK("http://1w6plus3.bplaced.net", "http://1w6plus3.bplaced.net")</f>
        <v>http://1w6plus3.bplaced.net</v>
      </c>
      <c r="B64" t="s">
        <v>5</v>
      </c>
      <c r="C64" t="str">
        <f>HYPERLINK("https://www.reddit.com/r/opendirectories/comments/mgiixo", "Some sort of game characters")</f>
        <v>Some sort of game characters</v>
      </c>
      <c r="D64" t="s">
        <v>383</v>
      </c>
    </row>
    <row r="65" spans="1:5" x14ac:dyDescent="0.2">
      <c r="A65" t="str">
        <f>HYPERLINK("http://75.191.169.182/Mike", "http://75.191.169.182/Mike")</f>
        <v>http://75.191.169.182/Mike</v>
      </c>
      <c r="B65" t="s">
        <v>5</v>
      </c>
      <c r="C65" t="str">
        <f>HYPERLINK("https://www.reddit.com/r/opendirectories/comments/mgbeaj", "roms")</f>
        <v>roms</v>
      </c>
      <c r="D65" t="s">
        <v>383</v>
      </c>
    </row>
    <row r="66" spans="1:5" x14ac:dyDescent="0.2">
      <c r="A66" t="str">
        <f>HYPERLINK("http://75.86.91.167", "http://75.86.91.167")</f>
        <v>http://75.86.91.167</v>
      </c>
      <c r="B66" t="s">
        <v>5</v>
      </c>
      <c r="C66" t="str">
        <f>HYPERLINK("https://www.reddit.com/r/opendirectories/comments/lztfm8", "Just some mp3's")</f>
        <v>Just some mp3's</v>
      </c>
      <c r="D66" t="s">
        <v>285</v>
      </c>
    </row>
    <row r="67" spans="1:5" x14ac:dyDescent="0.2">
      <c r="A67" t="str">
        <f>HYPERLINK("http://162.12.215.254/Data", "http://162.12.215.254/Data")</f>
        <v>http://162.12.215.254/Data</v>
      </c>
      <c r="B67" t="s">
        <v>5</v>
      </c>
      <c r="C67" t="str">
        <f>HYPERLINK("https://www.reddit.com/r/opendirectories/comments/lpxijh", "Nice collection of movies, games, etc.")</f>
        <v>Nice collection of movies, games, etc.</v>
      </c>
      <c r="D67" t="s">
        <v>390</v>
      </c>
    </row>
    <row r="68" spans="1:5" x14ac:dyDescent="0.2">
      <c r="A68" t="str">
        <f>HYPERLINK("https://repo.mariocube.com", "https://repo.mariocube.com")</f>
        <v>https://repo.mariocube.com</v>
      </c>
      <c r="B68" t="s">
        <v>5</v>
      </c>
      <c r="C68" t="str">
        <f>HYPERLINK("https://www.reddit.com/r/opendirectories/comments/liharw", "OD of Misc Nintendo Games")</f>
        <v>OD of Misc Nintendo Games</v>
      </c>
      <c r="D68" t="s">
        <v>290</v>
      </c>
    </row>
    <row r="69" spans="1:5" x14ac:dyDescent="0.2">
      <c r="A69" t="str">
        <f>HYPERLINK("http://www.antyk.infantry.cz", "http://www.antyk.infantry.cz")</f>
        <v>http://www.antyk.infantry.cz</v>
      </c>
      <c r="B69" t="s">
        <v>5</v>
      </c>
      <c r="C69" t="str">
        <f>HYPERLINK("https://www.reddit.com/r/opendirectories/comments/li9e3d", "Age of Empires 3 Complete Collection")</f>
        <v>Age of Empires 3 Complete Collection</v>
      </c>
      <c r="D69" t="s">
        <v>290</v>
      </c>
    </row>
    <row r="70" spans="1:5" x14ac:dyDescent="0.2">
      <c r="A70" t="str">
        <f>HYPERLINK("http://109.200.155.175/Музыка", "http://109.200.155.175/Музыка")</f>
        <v>http://109.200.155.175/Музыка</v>
      </c>
      <c r="B70" t="s">
        <v>5</v>
      </c>
      <c r="C70" t="str">
        <f>HYPERLINK("https://www.reddit.com/r/opendirectories/comments/li91r8", "Black Sabbath - Paranoid (1970) / Deep Purple - Machine Head (1973) / Pink Floyd - The Endless River (Deluxe) CD &amp;amp; Bluray + Lots of other stuff!!")</f>
        <v>Black Sabbath - Paranoid (1970) / Deep Purple - Machine Head (1973) / Pink Floyd - The Endless River (Deluxe) CD &amp;amp; Bluray + Lots of other stuff!!</v>
      </c>
      <c r="D70" t="s">
        <v>290</v>
      </c>
      <c r="E70" t="s">
        <v>156</v>
      </c>
    </row>
    <row r="71" spans="1:5" x14ac:dyDescent="0.2">
      <c r="A71" t="str">
        <f>HYPERLINK("http://109.200.155.175", "http://109.200.155.175")</f>
        <v>http://109.200.155.175</v>
      </c>
      <c r="B71" t="s">
        <v>5</v>
      </c>
      <c r="C71" t="str">
        <f>HYPERLINK("https://www.reddit.com/r/opendirectories/comments/li91r8", "Black Sabbath - Paranoid (1970) / Deep Purple - Machine Head (1973) / Pink Floyd - The Endless River (Deluxe) CD &amp;amp; Bluray + Lots of other stuff!!")</f>
        <v>Black Sabbath - Paranoid (1970) / Deep Purple - Machine Head (1973) / Pink Floyd - The Endless River (Deluxe) CD &amp;amp; Bluray + Lots of other stuff!!</v>
      </c>
      <c r="D71" t="s">
        <v>290</v>
      </c>
      <c r="E71" t="s">
        <v>156</v>
      </c>
    </row>
    <row r="72" spans="1:5" x14ac:dyDescent="0.2">
      <c r="A72" t="str">
        <f>HYPERLINK("https://download.tuxfamily.org", "https://download.tuxfamily.org")</f>
        <v>https://download.tuxfamily.org</v>
      </c>
      <c r="B72" t="s">
        <v>5</v>
      </c>
      <c r="C72" t="str">
        <f>HYPERLINK("https://www.reddit.com/r/opendirectories/comments/etfrtz", "big ass directory (roms for sure, not sure what else)")</f>
        <v>big ass directory (roms for sure, not sure what else)</v>
      </c>
      <c r="D72" t="s">
        <v>472</v>
      </c>
    </row>
    <row r="73" spans="1:5" x14ac:dyDescent="0.2">
      <c r="A73" t="str">
        <f>HYPERLINK("http://alexandre.sicard.free.fr", "http://alexandre.sicard.free.fr")</f>
        <v>http://alexandre.sicard.free.fr</v>
      </c>
      <c r="B73" t="s">
        <v>5</v>
      </c>
      <c r="C73" t="str">
        <f>HYPERLINK("https://www.reddit.com/r/opendirectories/comments/l9btxd", "Some pokémon roms as well as pokéhacks.")</f>
        <v>Some pokémon roms as well as pokéhacks.</v>
      </c>
      <c r="D73" t="s">
        <v>679</v>
      </c>
    </row>
    <row r="74" spans="1:5" x14ac:dyDescent="0.2">
      <c r="A74" t="str">
        <f>HYPERLINK("https://seedbox.retromags.com", "https://seedbox.retromags.com")</f>
        <v>https://seedbox.retromags.com</v>
      </c>
      <c r="B74" t="s">
        <v>5</v>
      </c>
      <c r="C74" t="str">
        <f>HYPERLINK("https://www.reddit.com/r/opendirectories/comments/kqr5yp", "Retromags Full Collection 2005-2020 (2020 Mags, Guides)")</f>
        <v>Retromags Full Collection 2005-2020 (2020 Mags, Guides)</v>
      </c>
      <c r="D74" t="s">
        <v>296</v>
      </c>
    </row>
    <row r="75" spans="1:5" x14ac:dyDescent="0.2">
      <c r="A75" t="str">
        <f>HYPERLINK("https://hypendium.com", "https://hypendium.com")</f>
        <v>https://hypendium.com</v>
      </c>
      <c r="B75" t="s">
        <v>5</v>
      </c>
      <c r="C75" t="str">
        <f>HYPERLINK("https://www.reddit.com/r/opendirectories/comments/kkt0eo", "Not sure but looks like scenes from video games (possibly NSFW)")</f>
        <v>Not sure but looks like scenes from video games (possibly NSFW)</v>
      </c>
      <c r="D75" t="s">
        <v>297</v>
      </c>
    </row>
    <row r="76" spans="1:5" x14ac:dyDescent="0.2">
      <c r="A76" t="str">
        <f>HYPERLINK("http://wii.joshw.info", "http://wii.joshw.info")</f>
        <v>http://wii.joshw.info</v>
      </c>
      <c r="B76" t="s">
        <v>5</v>
      </c>
      <c r="C76" t="str">
        <f>HYPERLINK("https://www.reddit.com/r/opendirectories/comments/kgou8q", "Bunch of Wii games")</f>
        <v>Bunch of Wii games</v>
      </c>
      <c r="D76" t="s">
        <v>680</v>
      </c>
    </row>
    <row r="77" spans="1:5" x14ac:dyDescent="0.2">
      <c r="A77" t="str">
        <f>HYPERLINK("http://www.arcadeplay.com/store", "http://www.arcadeplay.com/store")</f>
        <v>http://www.arcadeplay.com/store</v>
      </c>
      <c r="B77" t="s">
        <v>5</v>
      </c>
      <c r="C77" t="str">
        <f>HYPERLINK("https://www.reddit.com/r/opendirectories/comments/kcit72", "SWF GAMES")</f>
        <v>SWF GAMES</v>
      </c>
      <c r="D77" t="s">
        <v>523</v>
      </c>
    </row>
    <row r="78" spans="1:5" x14ac:dyDescent="0.2">
      <c r="A78" t="str">
        <f>HYPERLINK("http://pc.joshw.info", "http://pc.joshw.info")</f>
        <v>http://pc.joshw.info</v>
      </c>
      <c r="B78" t="s">
        <v>5</v>
      </c>
      <c r="C78" t="str">
        <f>HYPERLINK("https://www.reddit.com/r/opendirectories/comments/36my2s", "Collection of old &amp;amp; new games sorted by alphabet")</f>
        <v>Collection of old &amp;amp; new games sorted by alphabet</v>
      </c>
      <c r="D78" t="s">
        <v>304</v>
      </c>
    </row>
    <row r="79" spans="1:5" x14ac:dyDescent="0.2">
      <c r="A79" t="str">
        <f>HYPERLINK("http://ftp.kameli.net", "http://ftp.kameli.net")</f>
        <v>http://ftp.kameli.net</v>
      </c>
      <c r="B79" t="s">
        <v>5</v>
      </c>
      <c r="C79" t="str">
        <f>HYPERLINK("https://www.reddit.com/r/opendirectories/comments/331oq2", "Classic Video Game Console Commercials")</f>
        <v>Classic Video Game Console Commercials</v>
      </c>
      <c r="D79" t="s">
        <v>306</v>
      </c>
    </row>
    <row r="80" spans="1:5" x14ac:dyDescent="0.2">
      <c r="A80" t="str">
        <f>HYPERLINK("http://www.kameli.net/~manu", "http://www.kameli.net/~manu")</f>
        <v>http://www.kameli.net/~manu</v>
      </c>
      <c r="B80" t="s">
        <v>5</v>
      </c>
      <c r="C80" t="str">
        <f>HYPERLINK("https://www.reddit.com/r/opendirectories/comments/5ndz7r", "Some video game Mp3's")</f>
        <v>Some video game Mp3's</v>
      </c>
      <c r="D80" t="s">
        <v>307</v>
      </c>
    </row>
    <row r="81" spans="1:5" x14ac:dyDescent="0.2">
      <c r="A81" t="str">
        <f>HYPERLINK("https://home.pilsfree.net", "https://home.pilsfree.net")</f>
        <v>https://home.pilsfree.net</v>
      </c>
      <c r="B81" t="s">
        <v>5</v>
      </c>
      <c r="C81" t="str">
        <f>HYPERLINK("https://www.reddit.com/r/opendirectories/comments/ape43b", "list of RE-POST's")</f>
        <v>list of RE-POST's</v>
      </c>
      <c r="D81" t="s">
        <v>396</v>
      </c>
    </row>
    <row r="82" spans="1:5" x14ac:dyDescent="0.2">
      <c r="A82" t="str">
        <f>HYPERLINK("http://62.122.138.133", "http://62.122.138.133")</f>
        <v>http://62.122.138.133</v>
      </c>
      <c r="B82" t="s">
        <v>5</v>
      </c>
      <c r="C82" t="str">
        <f>HYPERLINK("https://www.reddit.com/r/opendirectories/comments/jse3jd", "Various Music from all around the world")</f>
        <v>Various Music from all around the world</v>
      </c>
      <c r="D82" t="s">
        <v>266</v>
      </c>
    </row>
    <row r="83" spans="1:5" x14ac:dyDescent="0.2">
      <c r="A83" t="str">
        <f>HYPERLINK("http://218.72.252.150:9004", "http://218.72.252.150:9004")</f>
        <v>http://218.72.252.150:9004</v>
      </c>
      <c r="B83" t="s">
        <v>5</v>
      </c>
      <c r="C83" t="str">
        <f>HYPERLINK("https://www.reddit.com/r/opendirectories/comments/jsa626", "JAV Galore, Hentai, Amat, ...")</f>
        <v>JAV Galore, Hentai, Amat, ...</v>
      </c>
      <c r="D83" t="s">
        <v>266</v>
      </c>
    </row>
    <row r="84" spans="1:5" x14ac:dyDescent="0.2">
      <c r="A84" t="str">
        <f>HYPERLINK("https://107.175.63.104", "https://107.175.63.104")</f>
        <v>https://107.175.63.104</v>
      </c>
      <c r="B84" t="s">
        <v>5</v>
      </c>
      <c r="C84" t="str">
        <f>HYPERLINK("https://www.reddit.com/r/opendirectories/comments/jsa626", "JAV Galore, Hentai, Amat, ...")</f>
        <v>JAV Galore, Hentai, Amat, ...</v>
      </c>
      <c r="D84" t="s">
        <v>266</v>
      </c>
    </row>
    <row r="85" spans="1:5" x14ac:dyDescent="0.2">
      <c r="A85" t="str">
        <f>HYPERLINK("http://91.205.172.13:9000", "http://91.205.172.13:9000")</f>
        <v>http://91.205.172.13:9000</v>
      </c>
      <c r="B85" t="s">
        <v>5</v>
      </c>
      <c r="C85" t="str">
        <f>HYPERLINK("https://www.reddit.com/r/opendirectories/comments/jsa626", "JAV Galore, Hentai, Amat, ...")</f>
        <v>JAV Galore, Hentai, Amat, ...</v>
      </c>
      <c r="D85" t="s">
        <v>266</v>
      </c>
    </row>
    <row r="86" spans="1:5" x14ac:dyDescent="0.2">
      <c r="A86" t="str">
        <f>HYPERLINK("https://37.187.96.179", "https://37.187.96.179")</f>
        <v>https://37.187.96.179</v>
      </c>
      <c r="B86" t="s">
        <v>5</v>
      </c>
      <c r="C86" t="str">
        <f>HYPERLINK("https://www.reddit.com/r/opendirectories/comments/jsa626", "JAV Galore, Hentai, Amat, ...")</f>
        <v>JAV Galore, Hentai, Amat, ...</v>
      </c>
      <c r="D86" t="s">
        <v>266</v>
      </c>
    </row>
    <row r="87" spans="1:5" x14ac:dyDescent="0.2">
      <c r="A87" t="str">
        <f>HYPERLINK("http://51.15.25.24", "http://51.15.25.24")</f>
        <v>http://51.15.25.24</v>
      </c>
      <c r="B87" t="s">
        <v>5</v>
      </c>
      <c r="C87" t="str">
        <f>HYPERLINK("https://www.reddit.com/r/opendirectories/comments/jsa626", "JAV Galore, Hentai, Amat, ...")</f>
        <v>JAV Galore, Hentai, Amat, ...</v>
      </c>
      <c r="D87" t="s">
        <v>266</v>
      </c>
    </row>
    <row r="88" spans="1:5" x14ac:dyDescent="0.2">
      <c r="A88" t="str">
        <f>HYPERLINK("http://bbc.nvg.org", "http://bbc.nvg.org")</f>
        <v>http://bbc.nvg.org</v>
      </c>
      <c r="B88" t="s">
        <v>5</v>
      </c>
      <c r="C88" t="str">
        <f>HYPERLINK("https://www.reddit.com/r/opendirectories/comments/jf8b6g", "Norwegian University of Science and Technology in Trondheim - BBC archive (bulletin boards, not the news!) ROMs, code, general info.")</f>
        <v>Norwegian University of Science and Technology in Trondheim - BBC archive (bulletin boards, not the news!) ROMs, code, general info.</v>
      </c>
      <c r="D88" t="s">
        <v>65</v>
      </c>
    </row>
    <row r="89" spans="1:5" x14ac:dyDescent="0.2">
      <c r="A89" t="str">
        <f>HYPERLINK("https://foggy.fansub.ovh", "https://foggy.fansub.ovh")</f>
        <v>https://foggy.fansub.ovh</v>
      </c>
      <c r="B89" t="s">
        <v>5</v>
      </c>
      <c r="C89" t="str">
        <f>HYPERLINK("https://www.reddit.com/r/opendirectories/comments/ibrsh5", "Anime/Hentai/Music/PC Games")</f>
        <v>Anime/Hentai/Music/PC Games</v>
      </c>
      <c r="D89" t="s">
        <v>401</v>
      </c>
    </row>
    <row r="90" spans="1:5" x14ac:dyDescent="0.2">
      <c r="A90" t="str">
        <f>HYPERLINK("https://archives.eyrie.org", "https://archives.eyrie.org")</f>
        <v>https://archives.eyrie.org</v>
      </c>
      <c r="B90" t="s">
        <v>5</v>
      </c>
      <c r="C90" t="str">
        <f>HYPERLINK("https://www.reddit.com/r/opendirectories/comments/dzq53d", "Evangelion Fanfic (Not NSFW but weird as fuck, if you know evangelion)")</f>
        <v>Evangelion Fanfic (Not NSFW but weird as fuck, if you know evangelion)</v>
      </c>
      <c r="D90" t="s">
        <v>105</v>
      </c>
    </row>
    <row r="91" spans="1:5" x14ac:dyDescent="0.2">
      <c r="A91" t="str">
        <f>HYPERLINK("http://s.mtgprice.com/sets", "http://s.mtgprice.com/sets")</f>
        <v>http://s.mtgprice.com/sets</v>
      </c>
      <c r="B91" t="s">
        <v>5</v>
      </c>
      <c r="C91" t="str">
        <f>HYPERLINK("https://www.reddit.com/r/opendirectories/comments/i42z3q", "Looks like a card game, cards?")</f>
        <v>Looks like a card game, cards?</v>
      </c>
      <c r="D91" t="s">
        <v>681</v>
      </c>
    </row>
    <row r="92" spans="1:5" x14ac:dyDescent="0.2">
      <c r="A92" t="str">
        <f>HYPERLINK("http://37.187.20.239", "http://37.187.20.239")</f>
        <v>http://37.187.20.239</v>
      </c>
      <c r="B92" t="s">
        <v>5</v>
      </c>
      <c r="C92" t="str">
        <f>HYPERLINK("https://www.reddit.com/r/opendirectories/comments/i2oc2e", "the SIMP and sons (Latin Spanish) T1 to T21")</f>
        <v>the SIMP and sons (Latin Spanish) T1 to T21</v>
      </c>
      <c r="D92" t="s">
        <v>449</v>
      </c>
      <c r="E92" t="s">
        <v>377</v>
      </c>
    </row>
    <row r="93" spans="1:5" x14ac:dyDescent="0.2">
      <c r="A93" t="str">
        <f>HYPERLINK("https://lost-contact.mit.edu/afs/adrake.org", "https://lost-contact.mit.edu/afs/adrake.org")</f>
        <v>https://lost-contact.mit.edu/afs/adrake.org</v>
      </c>
      <c r="B93" t="s">
        <v>5</v>
      </c>
      <c r="C93" t="str">
        <f>HYPERLINK("https://www.reddit.com/r/opendirectories/comments/9cjnuc", "Games/warez?")</f>
        <v>Games/warez?</v>
      </c>
      <c r="D93" t="s">
        <v>593</v>
      </c>
      <c r="E93" t="s">
        <v>594</v>
      </c>
    </row>
    <row r="94" spans="1:5" x14ac:dyDescent="0.2">
      <c r="A94" t="str">
        <f>HYPERLINK("http://modland.com", "http://modland.com")</f>
        <v>http://modland.com</v>
      </c>
      <c r="B94" t="s">
        <v>5</v>
      </c>
      <c r="C94" t="str">
        <f>HYPERLINK("https://www.reddit.com/r/opendirectories/comments/hv89qb", "Huge open directory of old school music files, players and utilities. (MOD, MID, S3M, also console files for NES, Game boy, etc)")</f>
        <v>Huge open directory of old school music files, players and utilities. (MOD, MID, S3M, also console files for NES, Game boy, etc)</v>
      </c>
      <c r="D94" t="s">
        <v>483</v>
      </c>
    </row>
    <row r="95" spans="1:5" x14ac:dyDescent="0.2">
      <c r="A95" t="str">
        <f>HYPERLINK("https://www.djjubeemedia.appboxes.co/Apks", "https://www.djjubeemedia.appboxes.co/Apks")</f>
        <v>https://www.djjubeemedia.appboxes.co/Apks</v>
      </c>
      <c r="B95" t="s">
        <v>5</v>
      </c>
      <c r="C95" t="str">
        <f>HYPERLINK("https://www.reddit.com/r/opendirectories/comments/ft483i", "Various APK Type Files")</f>
        <v>Various APK Type Files</v>
      </c>
      <c r="D95" t="s">
        <v>92</v>
      </c>
    </row>
    <row r="96" spans="1:5" x14ac:dyDescent="0.2">
      <c r="A96" t="str">
        <f>HYPERLINK("http://psp.joshw.info", "http://psp.joshw.info")</f>
        <v>http://psp.joshw.info</v>
      </c>
      <c r="B96" t="s">
        <v>5</v>
      </c>
      <c r="C96" t="str">
        <f>HYPERLINK("https://www.reddit.com/r/opendirectories/comments/h7y6zt", "Index of / PSP Games")</f>
        <v>Index of / PSP Games</v>
      </c>
      <c r="D96" t="s">
        <v>525</v>
      </c>
    </row>
    <row r="97" spans="1:5" x14ac:dyDescent="0.2">
      <c r="A97" t="str">
        <f>HYPERLINK("http://dl.kookdownload.com", "http://dl.kookdownload.com")</f>
        <v>http://dl.kookdownload.com</v>
      </c>
      <c r="B97" t="s">
        <v>5</v>
      </c>
      <c r="C97" t="str">
        <f>HYPERLINK("https://www.reddit.com/r/opendirectories/comments/gwvqt9", "Index of /game/computer/ (Thanks to our Arab Brothers) very fast server")</f>
        <v>Index of /game/computer/ (Thanks to our Arab Brothers) very fast server</v>
      </c>
      <c r="D97" t="s">
        <v>84</v>
      </c>
    </row>
    <row r="98" spans="1:5" x14ac:dyDescent="0.2">
      <c r="A98" t="str">
        <f>HYPERLINK("http://uchcom7.botik.ru/archive/a", "http://uchcom7.botik.ru/archive/a")</f>
        <v>http://uchcom7.botik.ru/archive/a</v>
      </c>
      <c r="B98" t="s">
        <v>5</v>
      </c>
      <c r="C98" t="str">
        <f>HYPERLINK("https://www.reddit.com/r/opendirectories/comments/8yq3im", "Few games found")</f>
        <v>Few games found</v>
      </c>
      <c r="D98" t="s">
        <v>682</v>
      </c>
      <c r="E98" t="s">
        <v>8</v>
      </c>
    </row>
    <row r="99" spans="1:5" x14ac:dyDescent="0.2">
      <c r="A99" t="str">
        <f>HYPERLINK("http://files.abandonia.com/extras", "http://files.abandonia.com/extras")</f>
        <v>http://files.abandonia.com/extras</v>
      </c>
      <c r="B99" t="s">
        <v>5</v>
      </c>
      <c r="C99" t="str">
        <f>HYPERLINK("https://www.reddit.com/r/opendirectories/comments/g6u1c3", "Abandoned games related stuff - books, manuals, magazines, reviews")</f>
        <v>Abandoned games related stuff - books, manuals, magazines, reviews</v>
      </c>
      <c r="D99" t="s">
        <v>602</v>
      </c>
    </row>
    <row r="100" spans="1:5" x14ac:dyDescent="0.2">
      <c r="A100" t="str">
        <f>HYPERLINK("http://ftp.pigwa.net", "http://ftp.pigwa.net")</f>
        <v>http://ftp.pigwa.net</v>
      </c>
      <c r="B100" t="s">
        <v>5</v>
      </c>
      <c r="C100" t="str">
        <f>HYPERLINK("https://www.reddit.com/r/opendirectories/comments/aeymqt", "845GB Archive of Atari/8bit Demoscene material (party folders, videos, actual demo files, emulators etc)")</f>
        <v>845GB Archive of Atari/8bit Demoscene material (party folders, videos, actual demo files, emulators etc)</v>
      </c>
      <c r="D100" t="s">
        <v>317</v>
      </c>
    </row>
    <row r="101" spans="1:5" x14ac:dyDescent="0.2">
      <c r="A101" t="str">
        <f>HYPERLINK("https://doc.downloadha.com", "https://doc.downloadha.com")</f>
        <v>https://doc.downloadha.com</v>
      </c>
      <c r="B101" t="s">
        <v>5</v>
      </c>
      <c r="C101" t="str">
        <f>HYPERLINK("https://www.reddit.com/r/opendirectories/comments/d5e6ka", "Lots of Documentaries, BBC, Nature, MvGroup etc.")</f>
        <v>Lots of Documentaries, BBC, Nature, MvGroup etc.</v>
      </c>
      <c r="D101" t="s">
        <v>407</v>
      </c>
    </row>
    <row r="102" spans="1:5" x14ac:dyDescent="0.2">
      <c r="A102" t="str">
        <f>HYPERLINK("http://www.shmygelskyy.name", "http://www.shmygelskyy.name")</f>
        <v>http://www.shmygelskyy.name</v>
      </c>
      <c r="B102" t="s">
        <v>5</v>
      </c>
      <c r="C102" t="str">
        <f>HYPERLINK("https://www.reddit.com/r/opendirectories/comments/fpwn1t", "Index of Movies,mostly bluray.")</f>
        <v>Index of Movies,mostly bluray.</v>
      </c>
      <c r="D102" t="s">
        <v>318</v>
      </c>
      <c r="E102" t="s">
        <v>14</v>
      </c>
    </row>
    <row r="103" spans="1:5" x14ac:dyDescent="0.2">
      <c r="A103" t="str">
        <f>HYPERLINK("http://mirrors.ibiblio.org", "http://mirrors.ibiblio.org")</f>
        <v>http://mirrors.ibiblio.org</v>
      </c>
      <c r="B103" t="s">
        <v>5</v>
      </c>
      <c r="C103" t="str">
        <f>HYPERLINK("https://www.reddit.com/r/opendirectories/comments/fge8lt", "Interactive Fiction Games")</f>
        <v>Interactive Fiction Games</v>
      </c>
      <c r="D103" t="s">
        <v>93</v>
      </c>
    </row>
    <row r="104" spans="1:5" x14ac:dyDescent="0.2">
      <c r="A104" t="str">
        <f>HYPERLINK("http://fringe.davesource.com", "http://fringe.davesource.com")</f>
        <v>http://fringe.davesource.com</v>
      </c>
      <c r="B104" t="s">
        <v>5</v>
      </c>
      <c r="C104" t="str">
        <f>HYPERLINK("https://www.reddit.com/r/opendirectories/comments/8tprou", "I'm back again with the HAM!")</f>
        <v>I'm back again with the HAM!</v>
      </c>
      <c r="D104" t="s">
        <v>533</v>
      </c>
    </row>
    <row r="105" spans="1:5" x14ac:dyDescent="0.2">
      <c r="A105" t="str">
        <f>HYPERLINK("http://ftp.sunet.se", "http://ftp.sunet.se")</f>
        <v>http://ftp.sunet.se</v>
      </c>
      <c r="B105" t="s">
        <v>5</v>
      </c>
      <c r="C105" t="str">
        <f>HYPERLINK("https://www.reddit.com/r/opendirectories/comments/eqm9je", "Thousands and thousands of files of all types and sizes. Many from the early days of the Internet.")</f>
        <v>Thousands and thousands of files of all types and sizes. Many from the early days of the Internet.</v>
      </c>
      <c r="D105" t="s">
        <v>322</v>
      </c>
    </row>
    <row r="106" spans="1:5" x14ac:dyDescent="0.2">
      <c r="A106" t="str">
        <f>HYPERLINK("https://www.andyslife.org/games", "https://www.andyslife.org/games")</f>
        <v>https://www.andyslife.org/games</v>
      </c>
      <c r="B106" t="s">
        <v>5</v>
      </c>
      <c r="C106" t="str">
        <f>HYPERLINK("https://www.reddit.com/r/opendirectories/comments/e6ewp1", "flash games")</f>
        <v>flash games</v>
      </c>
      <c r="D106" t="s">
        <v>683</v>
      </c>
    </row>
    <row r="107" spans="1:5" x14ac:dyDescent="0.2">
      <c r="A107" t="str">
        <f>HYPERLINK("https://mirror.irowiki.org/ragnarok", "https://mirror.irowiki.org/ragnarok")</f>
        <v>https://mirror.irowiki.org/ragnarok</v>
      </c>
      <c r="B107" t="s">
        <v>5</v>
      </c>
      <c r="C107" t="str">
        <f>HYPERLINK("https://www.reddit.com/r/opendirectories/comments/e5irp1", "UI themes for some sort of dungeon type game cammed iRO")</f>
        <v>UI themes for some sort of dungeon type game cammed iRO</v>
      </c>
      <c r="D107" t="s">
        <v>102</v>
      </c>
    </row>
    <row r="108" spans="1:5" x14ac:dyDescent="0.2">
      <c r="A108" t="str">
        <f>HYPERLINK("http://95.129.137.250/archive/a", "http://95.129.137.250/archive/a")</f>
        <v>http://95.129.137.250/archive/a</v>
      </c>
      <c r="B108" t="s">
        <v>5</v>
      </c>
      <c r="C108" t="str">
        <f>HYPERLINK("https://www.reddit.com/r/opendirectories/comments/dzu76f", "PC Games, iffy host")</f>
        <v>PC Games, iffy host</v>
      </c>
      <c r="D108" t="s">
        <v>684</v>
      </c>
    </row>
    <row r="109" spans="1:5" x14ac:dyDescent="0.2">
      <c r="A109" t="str">
        <f>HYPERLINK("https://modland.ziphoid.com", "https://modland.ziphoid.com")</f>
        <v>https://modland.ziphoid.com</v>
      </c>
      <c r="B109" t="s">
        <v>5</v>
      </c>
      <c r="C109" t="str">
        <f>HYPERLINK("https://www.reddit.com/r/opendirectories/comments/dzq5d0", "Dreamcast Game sound file rips")</f>
        <v>Dreamcast Game sound file rips</v>
      </c>
      <c r="D109" t="s">
        <v>105</v>
      </c>
    </row>
    <row r="110" spans="1:5" x14ac:dyDescent="0.2">
      <c r="A110" t="str">
        <f>HYPERLINK("http://users.vermontel.net/~cshorey", "http://users.vermontel.net/~cshorey")</f>
        <v>http://users.vermontel.net/~cshorey</v>
      </c>
      <c r="B110" t="s">
        <v>5</v>
      </c>
      <c r="C110" t="str">
        <f>HYPERLINK("https://www.reddit.com/r/opendirectories/comments/dytfvk", "Roms, Applications, artwork that isnt very good, etc")</f>
        <v>Roms, Applications, artwork that isnt very good, etc</v>
      </c>
      <c r="D110" t="s">
        <v>685</v>
      </c>
    </row>
    <row r="111" spans="1:5" x14ac:dyDescent="0.2">
      <c r="A111" t="str">
        <f>HYPERLINK("http://files.diadu.net/Other%20Files", "http://files.diadu.net/Other%20Files")</f>
        <v>http://files.diadu.net/Other%20Files</v>
      </c>
      <c r="B111" t="s">
        <v>5</v>
      </c>
      <c r="C111" t="str">
        <f>HYPERLINK("https://www.reddit.com/r/opendirectories/comments/dwl0rv", "MISC Open Directories [Games, Roms, OSTs, more games, anime]")</f>
        <v>MISC Open Directories [Games, Roms, OSTs, more games, anime]</v>
      </c>
      <c r="D111" t="s">
        <v>325</v>
      </c>
      <c r="E111" t="s">
        <v>51</v>
      </c>
    </row>
    <row r="112" spans="1:5" x14ac:dyDescent="0.2">
      <c r="A112" t="str">
        <f>HYPERLINK("http://xbox.joshw.info", "http://xbox.joshw.info")</f>
        <v>http://xbox.joshw.info</v>
      </c>
      <c r="B112" t="s">
        <v>5</v>
      </c>
      <c r="C112" t="str">
        <f>HYPERLINK("https://www.reddit.com/r/opendirectories/comments/dwl0rv", "MISC Open Directories [Games, Roms, OSTs, more games, anime]")</f>
        <v>MISC Open Directories [Games, Roms, OSTs, more games, anime]</v>
      </c>
      <c r="D112" t="s">
        <v>325</v>
      </c>
      <c r="E112" t="s">
        <v>51</v>
      </c>
    </row>
    <row r="113" spans="1:5" x14ac:dyDescent="0.2">
      <c r="A113" t="str">
        <f>HYPERLINK("http://teknopia.net/new_uploads", "http://teknopia.net/new_uploads")</f>
        <v>http://teknopia.net/new_uploads</v>
      </c>
      <c r="B113" t="s">
        <v>5</v>
      </c>
      <c r="C113" t="str">
        <f>HYPERLINK("https://www.reddit.com/r/opendirectories/comments/bnqm1l", "Daft Punk (several sources)")</f>
        <v>Daft Punk (several sources)</v>
      </c>
      <c r="D113" t="s">
        <v>487</v>
      </c>
    </row>
    <row r="114" spans="1:5" x14ac:dyDescent="0.2">
      <c r="A114" t="str">
        <f>HYPERLINK("http://download.nust.na/pub2", "http://download.nust.na/pub2")</f>
        <v>http://download.nust.na/pub2</v>
      </c>
      <c r="B114" t="s">
        <v>5</v>
      </c>
      <c r="C114" t="str">
        <f>HYPERLINK("https://www.reddit.com/r/opendirectories/comments/aud8yi", "Was looking for a specific open directory, found some interesting ones on the way/")</f>
        <v>Was looking for a specific open directory, found some interesting ones on the way/</v>
      </c>
      <c r="D114" t="s">
        <v>138</v>
      </c>
      <c r="E114" t="s">
        <v>14</v>
      </c>
    </row>
    <row r="115" spans="1:5" x14ac:dyDescent="0.2">
      <c r="A115" t="str">
        <f>HYPERLINK("http://www.c0op3r.com/images", "http://www.c0op3r.com/images")</f>
        <v>http://www.c0op3r.com/images</v>
      </c>
      <c r="B115" t="s">
        <v>5</v>
      </c>
      <c r="C115" t="str">
        <f>HYPERLINK("https://www.reddit.com/r/opendirectories/comments/de531x", "Amiga stuff")</f>
        <v>Amiga stuff</v>
      </c>
      <c r="D115" t="s">
        <v>327</v>
      </c>
    </row>
    <row r="116" spans="1:5" x14ac:dyDescent="0.2">
      <c r="A116" t="str">
        <f>HYPERLINK("http://worldofmenchi.fr/Amiga", "http://worldofmenchi.fr/Amiga")</f>
        <v>http://worldofmenchi.fr/Amiga</v>
      </c>
      <c r="B116" t="s">
        <v>5</v>
      </c>
      <c r="C116" t="str">
        <f>HYPERLINK("https://www.reddit.com/r/opendirectories/comments/de531x", "Amiga stuff")</f>
        <v>Amiga stuff</v>
      </c>
      <c r="D116" t="s">
        <v>327</v>
      </c>
    </row>
    <row r="117" spans="1:5" x14ac:dyDescent="0.2">
      <c r="A117" t="str">
        <f>HYPERLINK("https://ftp.sunet.se", "https://ftp.sunet.se")</f>
        <v>https://ftp.sunet.se</v>
      </c>
      <c r="B117" t="s">
        <v>5</v>
      </c>
      <c r="C117" t="str">
        <f>HYPERLINK("https://www.reddit.com/r/opendirectories/comments/ak1xka", "Swedish Umea University ACC Club Directory. Has files going back to 94, games, classic anime, books, etc.")</f>
        <v>Swedish Umea University ACC Club Directory. Has files going back to 94, games, classic anime, books, etc.</v>
      </c>
      <c r="D117" t="s">
        <v>414</v>
      </c>
    </row>
    <row r="118" spans="1:5" x14ac:dyDescent="0.2">
      <c r="A118" t="str">
        <f>HYPERLINK("http://switch.joshw.info", "http://switch.joshw.info")</f>
        <v>http://switch.joshw.info</v>
      </c>
      <c r="B118" t="s">
        <v>5</v>
      </c>
      <c r="C118" t="str">
        <f>HYPERLINK("https://www.reddit.com/r/opendirectories/comments/dahgi0", "Nintendo Switch roms")</f>
        <v>Nintendo Switch roms</v>
      </c>
      <c r="D118" t="s">
        <v>686</v>
      </c>
    </row>
    <row r="119" spans="1:5" x14ac:dyDescent="0.2">
      <c r="A119" t="str">
        <f>HYPERLINK("http://www.hampa.ch/pub", "http://www.hampa.ch/pub")</f>
        <v>http://www.hampa.ch/pub</v>
      </c>
      <c r="B119" t="s">
        <v>5</v>
      </c>
      <c r="C119" t="str">
        <f>HYPERLINK("https://www.reddit.com/r/opendirectories/comments/dahews", "Small archive of MS DOS applications and games.")</f>
        <v>Small archive of MS DOS applications and games.</v>
      </c>
      <c r="D119" t="s">
        <v>686</v>
      </c>
    </row>
    <row r="120" spans="1:5" x14ac:dyDescent="0.2">
      <c r="A120" t="str">
        <f>HYPERLINK("http://ibiblio.org/pub", "http://ibiblio.org/pub")</f>
        <v>http://ibiblio.org/pub</v>
      </c>
      <c r="B120" t="s">
        <v>5</v>
      </c>
      <c r="C120" t="str">
        <f>HYPERLINK("https://www.reddit.com/r/opendirectories/comments/bo6fmn", "Random .tar.gz games")</f>
        <v>Random .tar.gz games</v>
      </c>
      <c r="D120" t="s">
        <v>687</v>
      </c>
    </row>
    <row r="121" spans="1:5" x14ac:dyDescent="0.2">
      <c r="A121" t="str">
        <f>HYPERLINK("https://b.goeswhere.com", "https://b.goeswhere.com")</f>
        <v>https://b.goeswhere.com</v>
      </c>
      <c r="B121" t="s">
        <v>5</v>
      </c>
      <c r="C121" t="str">
        <f t="shared" ref="C121:C147" si="2">HYPERLINK("https://www.reddit.com/r/opendirectories/comments/ape43b", "list of RE-POST's")</f>
        <v>list of RE-POST's</v>
      </c>
      <c r="D121" t="s">
        <v>396</v>
      </c>
    </row>
    <row r="122" spans="1:5" x14ac:dyDescent="0.2">
      <c r="A122" t="str">
        <f>HYPERLINK("https://blackstarkodi.com", "https://blackstarkodi.com")</f>
        <v>https://blackstarkodi.com</v>
      </c>
      <c r="B122" t="s">
        <v>5</v>
      </c>
      <c r="C122" t="str">
        <f t="shared" si="2"/>
        <v>list of RE-POST's</v>
      </c>
      <c r="D122" t="s">
        <v>396</v>
      </c>
    </row>
    <row r="123" spans="1:5" x14ac:dyDescent="0.2">
      <c r="A123" t="str">
        <f>HYPERLINK("https://cache.csrulez.ru", "https://cache.csrulez.ru")</f>
        <v>https://cache.csrulez.ru</v>
      </c>
      <c r="B123" t="s">
        <v>5</v>
      </c>
      <c r="C123" t="str">
        <f t="shared" si="2"/>
        <v>list of RE-POST's</v>
      </c>
      <c r="D123" t="s">
        <v>396</v>
      </c>
    </row>
    <row r="124" spans="1:5" x14ac:dyDescent="0.2">
      <c r="A124" t="str">
        <f>HYPERLINK("https://ch0c.com", "https://ch0c.com")</f>
        <v>https://ch0c.com</v>
      </c>
      <c r="B124" t="s">
        <v>5</v>
      </c>
      <c r="C124" t="str">
        <f t="shared" si="2"/>
        <v>list of RE-POST's</v>
      </c>
      <c r="D124" t="s">
        <v>396</v>
      </c>
    </row>
    <row r="125" spans="1:5" x14ac:dyDescent="0.2">
      <c r="A125" t="str">
        <f>HYPERLINK("https://cyberside.net.ee", "https://cyberside.net.ee")</f>
        <v>https://cyberside.net.ee</v>
      </c>
      <c r="B125" t="s">
        <v>5</v>
      </c>
      <c r="C125" t="str">
        <f t="shared" si="2"/>
        <v>list of RE-POST's</v>
      </c>
      <c r="D125" t="s">
        <v>396</v>
      </c>
    </row>
    <row r="126" spans="1:5" x14ac:dyDescent="0.2">
      <c r="A126" t="str">
        <f>HYPERLINK("https://dl.par30dl.com", "https://dl.par30dl.com")</f>
        <v>https://dl.par30dl.com</v>
      </c>
      <c r="B126" t="s">
        <v>5</v>
      </c>
      <c r="C126" t="str">
        <f t="shared" si="2"/>
        <v>list of RE-POST's</v>
      </c>
      <c r="D126" t="s">
        <v>396</v>
      </c>
    </row>
    <row r="127" spans="1:5" x14ac:dyDescent="0.2">
      <c r="A127" t="str">
        <f>HYPERLINK("https://download.nextcloud.com", "https://download.nextcloud.com")</f>
        <v>https://download.nextcloud.com</v>
      </c>
      <c r="B127" t="s">
        <v>5</v>
      </c>
      <c r="C127" t="str">
        <f t="shared" si="2"/>
        <v>list of RE-POST's</v>
      </c>
      <c r="D127" t="s">
        <v>396</v>
      </c>
    </row>
    <row r="128" spans="1:5" x14ac:dyDescent="0.2">
      <c r="A128" t="str">
        <f>HYPERLINK("https://download.videolan.org", "https://download.videolan.org")</f>
        <v>https://download.videolan.org</v>
      </c>
      <c r="B128" t="s">
        <v>5</v>
      </c>
      <c r="C128" t="str">
        <f t="shared" si="2"/>
        <v>list of RE-POST's</v>
      </c>
      <c r="D128" t="s">
        <v>396</v>
      </c>
    </row>
    <row r="129" spans="1:4" x14ac:dyDescent="0.2">
      <c r="A129" t="str">
        <f>HYPERLINK("https://ftp.belnet.be", "https://ftp.belnet.be")</f>
        <v>https://ftp.belnet.be</v>
      </c>
      <c r="B129" t="s">
        <v>5</v>
      </c>
      <c r="C129" t="str">
        <f t="shared" si="2"/>
        <v>list of RE-POST's</v>
      </c>
      <c r="D129" t="s">
        <v>396</v>
      </c>
    </row>
    <row r="130" spans="1:4" x14ac:dyDescent="0.2">
      <c r="A130" t="str">
        <f>HYPERLINK("https://ftp.dlink.ru", "https://ftp.dlink.ru")</f>
        <v>https://ftp.dlink.ru</v>
      </c>
      <c r="B130" t="s">
        <v>5</v>
      </c>
      <c r="C130" t="str">
        <f t="shared" si="2"/>
        <v>list of RE-POST's</v>
      </c>
      <c r="D130" t="s">
        <v>396</v>
      </c>
    </row>
    <row r="131" spans="1:4" x14ac:dyDescent="0.2">
      <c r="A131" t="str">
        <f>HYPERLINK("https://ftp.funet.fi", "https://ftp.funet.fi")</f>
        <v>https://ftp.funet.fi</v>
      </c>
      <c r="B131" t="s">
        <v>5</v>
      </c>
      <c r="C131" t="str">
        <f t="shared" si="2"/>
        <v>list of RE-POST's</v>
      </c>
      <c r="D131" t="s">
        <v>396</v>
      </c>
    </row>
    <row r="132" spans="1:4" x14ac:dyDescent="0.2">
      <c r="A132" t="str">
        <f>HYPERLINK("https://ftp.gnome.org", "https://ftp.gnome.org")</f>
        <v>https://ftp.gnome.org</v>
      </c>
      <c r="B132" t="s">
        <v>5</v>
      </c>
      <c r="C132" t="str">
        <f t="shared" si="2"/>
        <v>list of RE-POST's</v>
      </c>
      <c r="D132" t="s">
        <v>396</v>
      </c>
    </row>
    <row r="133" spans="1:4" x14ac:dyDescent="0.2">
      <c r="A133" t="str">
        <f>HYPERLINK("https://galactic.to", "https://galactic.to")</f>
        <v>https://galactic.to</v>
      </c>
      <c r="B133" t="s">
        <v>5</v>
      </c>
      <c r="C133" t="str">
        <f t="shared" si="2"/>
        <v>list of RE-POST's</v>
      </c>
      <c r="D133" t="s">
        <v>396</v>
      </c>
    </row>
    <row r="134" spans="1:4" x14ac:dyDescent="0.2">
      <c r="A134" t="str">
        <f>HYPERLINK("https://gmsh.info", "https://gmsh.info")</f>
        <v>https://gmsh.info</v>
      </c>
      <c r="B134" t="s">
        <v>5</v>
      </c>
      <c r="C134" t="str">
        <f t="shared" si="2"/>
        <v>list of RE-POST's</v>
      </c>
      <c r="D134" t="s">
        <v>396</v>
      </c>
    </row>
    <row r="135" spans="1:4" x14ac:dyDescent="0.2">
      <c r="A135" t="str">
        <f>HYPERLINK("https://img.cs.montana.edu", "https://img.cs.montana.edu")</f>
        <v>https://img.cs.montana.edu</v>
      </c>
      <c r="B135" t="s">
        <v>5</v>
      </c>
      <c r="C135" t="str">
        <f t="shared" si="2"/>
        <v>list of RE-POST's</v>
      </c>
      <c r="D135" t="s">
        <v>396</v>
      </c>
    </row>
    <row r="136" spans="1:4" x14ac:dyDescent="0.2">
      <c r="A136" t="str">
        <f>HYPERLINK("https://incoherency.co.uk", "https://incoherency.co.uk")</f>
        <v>https://incoherency.co.uk</v>
      </c>
      <c r="B136" t="s">
        <v>5</v>
      </c>
      <c r="C136" t="str">
        <f t="shared" si="2"/>
        <v>list of RE-POST's</v>
      </c>
      <c r="D136" t="s">
        <v>396</v>
      </c>
    </row>
    <row r="137" spans="1:4" x14ac:dyDescent="0.2">
      <c r="A137" t="str">
        <f>HYPERLINK("https://legacymediastreams.com", "https://legacymediastreams.com")</f>
        <v>https://legacymediastreams.com</v>
      </c>
      <c r="B137" t="s">
        <v>5</v>
      </c>
      <c r="C137" t="str">
        <f t="shared" si="2"/>
        <v>list of RE-POST's</v>
      </c>
      <c r="D137" t="s">
        <v>396</v>
      </c>
    </row>
    <row r="138" spans="1:4" x14ac:dyDescent="0.2">
      <c r="A138" t="str">
        <f>HYPERLINK("https://media.xiph.org", "https://media.xiph.org")</f>
        <v>https://media.xiph.org</v>
      </c>
      <c r="B138" t="s">
        <v>5</v>
      </c>
      <c r="C138" t="str">
        <f t="shared" si="2"/>
        <v>list of RE-POST's</v>
      </c>
      <c r="D138" t="s">
        <v>396</v>
      </c>
    </row>
    <row r="139" spans="1:4" x14ac:dyDescent="0.2">
      <c r="A139" t="str">
        <f>HYPERLINK("https://modland.com", "https://modland.com")</f>
        <v>https://modland.com</v>
      </c>
      <c r="B139" t="s">
        <v>5</v>
      </c>
      <c r="C139" t="str">
        <f t="shared" si="2"/>
        <v>list of RE-POST's</v>
      </c>
      <c r="D139" t="s">
        <v>396</v>
      </c>
    </row>
    <row r="140" spans="1:4" x14ac:dyDescent="0.2">
      <c r="A140" t="str">
        <f>HYPERLINK("https://pics.yougave.me", "https://pics.yougave.me")</f>
        <v>https://pics.yougave.me</v>
      </c>
      <c r="B140" t="s">
        <v>5</v>
      </c>
      <c r="C140" t="str">
        <f t="shared" si="2"/>
        <v>list of RE-POST's</v>
      </c>
      <c r="D140" t="s">
        <v>396</v>
      </c>
    </row>
    <row r="141" spans="1:4" x14ac:dyDescent="0.2">
      <c r="A141" t="str">
        <f>HYPERLINK("https://repo.steampowered.com", "https://repo.steampowered.com")</f>
        <v>https://repo.steampowered.com</v>
      </c>
      <c r="B141" t="s">
        <v>5</v>
      </c>
      <c r="C141" t="str">
        <f t="shared" si="2"/>
        <v>list of RE-POST's</v>
      </c>
      <c r="D141" t="s">
        <v>396</v>
      </c>
    </row>
    <row r="142" spans="1:4" x14ac:dyDescent="0.2">
      <c r="A142" t="str">
        <f>HYPERLINK("https://rootjunkysdl.com", "https://rootjunkysdl.com")</f>
        <v>https://rootjunkysdl.com</v>
      </c>
      <c r="B142" t="s">
        <v>5</v>
      </c>
      <c r="C142" t="str">
        <f t="shared" si="2"/>
        <v>list of RE-POST's</v>
      </c>
      <c r="D142" t="s">
        <v>396</v>
      </c>
    </row>
    <row r="143" spans="1:4" x14ac:dyDescent="0.2">
      <c r="A143" t="str">
        <f>HYPERLINK("https://www.bookofthedead.ws", "https://www.bookofthedead.ws")</f>
        <v>https://www.bookofthedead.ws</v>
      </c>
      <c r="B143" t="s">
        <v>5</v>
      </c>
      <c r="C143" t="str">
        <f t="shared" si="2"/>
        <v>list of RE-POST's</v>
      </c>
      <c r="D143" t="s">
        <v>396</v>
      </c>
    </row>
    <row r="144" spans="1:4" x14ac:dyDescent="0.2">
      <c r="A144" t="str">
        <f>HYPERLINK("https://www.danielpeart.net", "https://www.danielpeart.net")</f>
        <v>https://www.danielpeart.net</v>
      </c>
      <c r="B144" t="s">
        <v>5</v>
      </c>
      <c r="C144" t="str">
        <f t="shared" si="2"/>
        <v>list of RE-POST's</v>
      </c>
      <c r="D144" t="s">
        <v>396</v>
      </c>
    </row>
    <row r="145" spans="1:4" x14ac:dyDescent="0.2">
      <c r="A145" t="str">
        <f>HYPERLINK("https://www.gamers.org", "https://www.gamers.org")</f>
        <v>https://www.gamers.org</v>
      </c>
      <c r="B145" t="s">
        <v>5</v>
      </c>
      <c r="C145" t="str">
        <f t="shared" si="2"/>
        <v>list of RE-POST's</v>
      </c>
      <c r="D145" t="s">
        <v>396</v>
      </c>
    </row>
    <row r="146" spans="1:4" x14ac:dyDescent="0.2">
      <c r="A146" t="str">
        <f>HYPERLINK("https://www.vivagamers.com", "https://www.vivagamers.com")</f>
        <v>https://www.vivagamers.com</v>
      </c>
      <c r="B146" t="s">
        <v>5</v>
      </c>
      <c r="C146" t="str">
        <f t="shared" si="2"/>
        <v>list of RE-POST's</v>
      </c>
      <c r="D146" t="s">
        <v>396</v>
      </c>
    </row>
    <row r="147" spans="1:4" x14ac:dyDescent="0.2">
      <c r="A147" t="str">
        <f>HYPERLINK("https://www.xbmcmods.com", "https://www.xbmcmods.com")</f>
        <v>https://www.xbmcmods.com</v>
      </c>
      <c r="B147" t="s">
        <v>5</v>
      </c>
      <c r="C147" t="str">
        <f t="shared" si="2"/>
        <v>list of RE-POST's</v>
      </c>
      <c r="D147" t="s">
        <v>396</v>
      </c>
    </row>
    <row r="148" spans="1:4" x14ac:dyDescent="0.2">
      <c r="A148" t="str">
        <f>HYPERLINK("http://gcn.joshw.info", "http://gcn.joshw.info")</f>
        <v>http://gcn.joshw.info</v>
      </c>
      <c r="B148" t="s">
        <v>5</v>
      </c>
      <c r="C148" t="str">
        <f>HYPERLINK("https://www.reddit.com/r/opendirectories/comments/an2qec", "Here's a good source for Gamecube isos now that they're gone from the-eye.")</f>
        <v>Here's a good source for Gamecube isos now that they're gone from the-eye.</v>
      </c>
      <c r="D148" t="s">
        <v>333</v>
      </c>
    </row>
    <row r="149" spans="1:4" x14ac:dyDescent="0.2">
      <c r="A149" t="str">
        <f>HYPERLINK("http://duoz.pl/ppa", "http://duoz.pl/ppa")</f>
        <v>http://duoz.pl/ppa</v>
      </c>
      <c r="B149" t="s">
        <v>5</v>
      </c>
      <c r="C149" t="str">
        <f>HYPERLINK("https://www.reddit.com/r/opendirectories/comments/ag6ipu", "Amiga software/games")</f>
        <v>Amiga software/games</v>
      </c>
      <c r="D149" t="s">
        <v>420</v>
      </c>
    </row>
    <row r="150" spans="1:4" x14ac:dyDescent="0.2">
      <c r="A150" t="str">
        <f>HYPERLINK("https://clusterrr.com/roms", "https://clusterrr.com/roms")</f>
        <v>https://clusterrr.com/roms</v>
      </c>
      <c r="B150" t="s">
        <v>5</v>
      </c>
      <c r="C150" t="str">
        <f>HYPERLINK("https://www.reddit.com/r/opendirectories/comments/afxp1n", "Hacked NES ROMs")</f>
        <v>Hacked NES ROMs</v>
      </c>
      <c r="D150" t="s">
        <v>146</v>
      </c>
    </row>
    <row r="151" spans="1:4" x14ac:dyDescent="0.2">
      <c r="A151" t="str">
        <f>HYPERLINK("http://pacsteam.org/Shareware", "http://pacsteam.org/Shareware")</f>
        <v>http://pacsteam.org/Shareware</v>
      </c>
      <c r="B151" t="s">
        <v>5</v>
      </c>
      <c r="C151" t="str">
        <f>HYPERLINK("https://www.reddit.com/r/opendirectories/comments/adymcu", "Conspiracy(Vids,Books,Audio.) Also: AudioBooks, Games, Music, Futurama (7 seasons) and more..")</f>
        <v>Conspiracy(Vids,Books,Audio.) Also: AudioBooks, Games, Music, Futurama (7 seasons) and more..</v>
      </c>
      <c r="D151" t="s">
        <v>338</v>
      </c>
    </row>
    <row r="152" spans="1:4" x14ac:dyDescent="0.2">
      <c r="A152" t="str">
        <f>HYPERLINK("https://www.hcs64.com/mboard", "https://www.hcs64.com/mboard")</f>
        <v>https://www.hcs64.com/mboard</v>
      </c>
      <c r="B152" t="s">
        <v>5</v>
      </c>
      <c r="C152" t="str">
        <f>HYPERLINK("https://www.reddit.com/r/opendirectories/comments/a201mc", "Original Music Files from Thousands of Video Games")</f>
        <v>Original Music Files from Thousands of Video Games</v>
      </c>
      <c r="D152" t="s">
        <v>339</v>
      </c>
    </row>
    <row r="153" spans="1:4" x14ac:dyDescent="0.2">
      <c r="A153" t="str">
        <f>HYPERLINK("http://kuukunen.net/flash", "http://kuukunen.net/flash")</f>
        <v>http://kuukunen.net/flash</v>
      </c>
      <c r="B153" t="s">
        <v>5</v>
      </c>
      <c r="C153" t="str">
        <f>HYPERLINK("https://www.reddit.com/r/opendirectories/comments/15dcxl", "Lots of flash videos/games (.swf)")</f>
        <v>Lots of flash videos/games (.swf)</v>
      </c>
      <c r="D153" t="s">
        <v>341</v>
      </c>
    </row>
    <row r="154" spans="1:4" x14ac:dyDescent="0.2">
      <c r="A154" t="str">
        <f>HYPERLINK("https://datapacket.com", "https://datapacket.com")</f>
        <v>https://datapacket.com</v>
      </c>
      <c r="B154" t="s">
        <v>5</v>
      </c>
      <c r="C154" t="str">
        <f>HYPERLINK("https://www.reddit.com/r/opendirectories/comments/92fnzh", "Revamped Fusker System - View Open Directory Images @ The-Eye")</f>
        <v>Revamped Fusker System - View Open Directory Images @ The-Eye</v>
      </c>
      <c r="D154" t="s">
        <v>161</v>
      </c>
    </row>
    <row r="155" spans="1:4" x14ac:dyDescent="0.2">
      <c r="A155" t="str">
        <f>HYPERLINK("http://tartarus.feralhosting.com/firepig", "http://tartarus.feralhosting.com/firepig")</f>
        <v>http://tartarus.feralhosting.com/firepig</v>
      </c>
      <c r="B155" t="s">
        <v>5</v>
      </c>
      <c r="C155" t="str">
        <f>HYPERLINK("https://www.reddit.com/r/opendirectories/comments/9mto1m", "Emulators + Roms + a few old cartoons (like complete 10 seasons of TMNT from 1989)")</f>
        <v>Emulators + Roms + a few old cartoons (like complete 10 seasons of TMNT from 1989)</v>
      </c>
      <c r="D155" t="s">
        <v>688</v>
      </c>
    </row>
    <row r="156" spans="1:4" x14ac:dyDescent="0.2">
      <c r="A156" t="str">
        <f>HYPERLINK("http://firepig.tartarus.feralhosting.com", "http://firepig.tartarus.feralhosting.com")</f>
        <v>http://firepig.tartarus.feralhosting.com</v>
      </c>
      <c r="B156" t="s">
        <v>5</v>
      </c>
      <c r="C156" t="str">
        <f>HYPERLINK("https://www.reddit.com/r/opendirectories/comments/8ufnbh", "Video Game Roms - Movies - TV")</f>
        <v>Video Game Roms - Movies - TV</v>
      </c>
      <c r="D156" t="s">
        <v>166</v>
      </c>
    </row>
    <row r="157" spans="1:4" x14ac:dyDescent="0.2">
      <c r="A157" t="str">
        <f>HYPERLINK("http://s7.bitdownload.ir", "http://s7.bitdownload.ir")</f>
        <v>http://s7.bitdownload.ir</v>
      </c>
      <c r="B157" t="s">
        <v>5</v>
      </c>
      <c r="C157" t="str">
        <f>HYPERLINK("https://www.reddit.com/r/opendirectories/comments/8lr2yv", "Sizable Collection Of PC Games")</f>
        <v>Sizable Collection Of PC Games</v>
      </c>
      <c r="D157" t="s">
        <v>415</v>
      </c>
    </row>
    <row r="158" spans="1:4" x14ac:dyDescent="0.2">
      <c r="A158" t="str">
        <f>HYPERLINK("https://dcnick3.duckdns.org", "https://dcnick3.duckdns.org")</f>
        <v>https://dcnick3.duckdns.org</v>
      </c>
      <c r="B158" t="s">
        <v>5</v>
      </c>
      <c r="C158" t="str">
        <f>HYPERLINK("https://www.reddit.com/r/opendirectories/comments/8h4fry", "Misc Music - Some Game OSTs (Terraria-Undertale) - Beatles")</f>
        <v>Misc Music - Some Game OSTs (Terraria-Undertale) - Beatles</v>
      </c>
      <c r="D158" t="s">
        <v>547</v>
      </c>
    </row>
    <row r="159" spans="1:4" x14ac:dyDescent="0.2">
      <c r="A159" t="str">
        <f>HYPERLINK("https://10gbps.io", "https://10gbps.io")</f>
        <v>https://10gbps.io</v>
      </c>
      <c r="B159" t="s">
        <v>5</v>
      </c>
      <c r="C159" t="str">
        <f>HYPERLINK("https://www.reddit.com/r/opendirectories/comments/7gs0f2", "Google Index Search Engine @ The-Eye")</f>
        <v>Google Index Search Engine @ The-Eye</v>
      </c>
      <c r="D159" t="s">
        <v>346</v>
      </c>
    </row>
    <row r="160" spans="1:4" x14ac:dyDescent="0.2">
      <c r="A160" t="str">
        <f>HYPERLINK("http://doc.downloadha.com", "http://doc.downloadha.com")</f>
        <v>http://doc.downloadha.com</v>
      </c>
      <c r="B160" t="s">
        <v>5</v>
      </c>
      <c r="C160" t="str">
        <f>HYPERLINK("https://www.reddit.com/r/opendirectories/comments/5t61ve", "Movies, TV Shows, Games")</f>
        <v>Movies, TV Shows, Games</v>
      </c>
      <c r="D160" t="s">
        <v>424</v>
      </c>
    </row>
    <row r="161" spans="1:4" x14ac:dyDescent="0.2">
      <c r="A161" t="str">
        <f>HYPERLINK("http://vip.aersia.net/mu", "http://vip.aersia.net/mu")</f>
        <v>http://vip.aersia.net/mu</v>
      </c>
      <c r="B161" t="s">
        <v>5</v>
      </c>
      <c r="C161" t="str">
        <f>HYPERLINK("https://www.reddit.com/r/opendirectories/comments/7sorhy", "A lot of video game music (complete playlist is at vip.aersia.net)")</f>
        <v>A lot of video game music (complete playlist is at vip.aersia.net)</v>
      </c>
      <c r="D161" t="s">
        <v>347</v>
      </c>
    </row>
    <row r="162" spans="1:4" x14ac:dyDescent="0.2">
      <c r="A162" t="str">
        <f>HYPERLINK("https://www.rwilco12.com/Files", "https://www.rwilco12.com/Files")</f>
        <v>https://www.rwilco12.com/Files</v>
      </c>
      <c r="B162" t="s">
        <v>5</v>
      </c>
      <c r="C162" t="str">
        <f>HYPERLINK("https://www.reddit.com/r/opendirectories/comments/7lj86p", "LG, Samsung galaxy, stock Roms")</f>
        <v>LG, Samsung galaxy, stock Roms</v>
      </c>
      <c r="D162" t="s">
        <v>349</v>
      </c>
    </row>
    <row r="163" spans="1:4" x14ac:dyDescent="0.2">
      <c r="A163" t="str">
        <f>HYPERLINK("https://www.vgmusic.com/music/console", "https://www.vgmusic.com/music/console")</f>
        <v>https://www.vgmusic.com/music/console</v>
      </c>
      <c r="B163" t="s">
        <v>5</v>
      </c>
      <c r="C163" t="str">
        <f>HYPERLINK("https://www.reddit.com/r/opendirectories/comments/7ldubj", "Video game music(vgm) all consoles")</f>
        <v>Video game music(vgm) all consoles</v>
      </c>
      <c r="D163" t="s">
        <v>349</v>
      </c>
    </row>
    <row r="164" spans="1:4" x14ac:dyDescent="0.2">
      <c r="A164" t="str">
        <f>HYPERLINK("http://patpend.net", "http://patpend.net")</f>
        <v>http://patpend.net</v>
      </c>
      <c r="B164" t="s">
        <v>5</v>
      </c>
      <c r="C164" t="str">
        <f>HYPERLINK("https://www.reddit.com/r/opendirectories/comments/7l9fgf", "Very Large collection of Emulators ,some roms and simulators too")</f>
        <v>Very Large collection of Emulators ,some roms and simulators too</v>
      </c>
      <c r="D164" t="s">
        <v>455</v>
      </c>
    </row>
    <row r="165" spans="1:4" x14ac:dyDescent="0.2">
      <c r="A165" t="str">
        <f>HYPERLINK("http://wiiu.joshw.info", "http://wiiu.joshw.info")</f>
        <v>http://wiiu.joshw.info</v>
      </c>
      <c r="B165" t="s">
        <v>5</v>
      </c>
      <c r="C165" t="str">
        <f>HYPERLINK("https://www.reddit.com/r/opendirectories/comments/7iqslm", "Wii-u games ost")</f>
        <v>Wii-u games ost</v>
      </c>
      <c r="D165" t="s">
        <v>550</v>
      </c>
    </row>
    <row r="166" spans="1:4" x14ac:dyDescent="0.2">
      <c r="A166" t="str">
        <f>HYPERLINK("http://psf3.joshw.info", "http://psf3.joshw.info")</f>
        <v>http://psf3.joshw.info</v>
      </c>
      <c r="B166" t="s">
        <v>5</v>
      </c>
      <c r="C166" t="str">
        <f>HYPERLINK("https://www.reddit.com/r/opendirectories/comments/7imnrx", "PlayStation (4,3,2,x) games ost in native format")</f>
        <v>PlayStation (4,3,2,x) games ost in native format</v>
      </c>
      <c r="D166" t="s">
        <v>180</v>
      </c>
    </row>
    <row r="167" spans="1:4" x14ac:dyDescent="0.2">
      <c r="A167" t="str">
        <f>HYPERLINK("http://3sf.joshw.info", "http://3sf.joshw.info")</f>
        <v>http://3sf.joshw.info</v>
      </c>
      <c r="B167" t="s">
        <v>5</v>
      </c>
      <c r="C167" t="str">
        <f>HYPERLINK("https://www.reddit.com/r/opendirectories/comments/7imnaj", "Tons of games soundtrack in thier native format")</f>
        <v>Tons of games soundtrack in thier native format</v>
      </c>
      <c r="D167" t="s">
        <v>180</v>
      </c>
    </row>
    <row r="168" spans="1:4" x14ac:dyDescent="0.2">
      <c r="A168" t="str">
        <f>HYPERLINK("http://www.jamiedole.com/randoms", "http://www.jamiedole.com/randoms")</f>
        <v>http://www.jamiedole.com/randoms</v>
      </c>
      <c r="B168" t="s">
        <v>5</v>
      </c>
      <c r="C168" t="str">
        <f>HYPERLINK("https://www.reddit.com/r/opendirectories/comments/7imgv7", "SEGA MEGA DRIVE (SMD) ROMS")</f>
        <v>SEGA MEGA DRIVE (SMD) ROMS</v>
      </c>
      <c r="D168" t="s">
        <v>180</v>
      </c>
    </row>
    <row r="169" spans="1:4" x14ac:dyDescent="0.2">
      <c r="A169" t="str">
        <f>HYPERLINK("http://thumbnails.libretro.com", "http://thumbnails.libretro.com")</f>
        <v>http://thumbnails.libretro.com</v>
      </c>
      <c r="B169" t="s">
        <v>5</v>
      </c>
      <c r="C169" t="str">
        <f>HYPERLINK("https://www.reddit.com/r/opendirectories/comments/7icwef", "An impressive collection of retro Video Game box art and snapshots. (90+ Platforms. 1000s of Images.)")</f>
        <v>An impressive collection of retro Video Game box art and snapshots. (90+ Platforms. 1000s of Images.)</v>
      </c>
      <c r="D169" t="s">
        <v>181</v>
      </c>
    </row>
    <row r="170" spans="1:4" x14ac:dyDescent="0.2">
      <c r="A170" t="str">
        <f>HYPERLINK("http://vita.joshw.info", "http://vita.joshw.info")</f>
        <v>http://vita.joshw.info</v>
      </c>
      <c r="B170" t="s">
        <v>5</v>
      </c>
      <c r="C170" t="str">
        <f>HYPERLINK("https://www.reddit.com/r/opendirectories/comments/770imx", "Old Games... I think.")</f>
        <v>Old Games... I think.</v>
      </c>
      <c r="D170" t="s">
        <v>689</v>
      </c>
    </row>
    <row r="171" spans="1:4" x14ac:dyDescent="0.2">
      <c r="A171" t="str">
        <f>HYPERLINK("http://www.alpha-ii.com/Download/Main.html", "http://www.alpha-ii.com/Download/Main.html")</f>
        <v>http://www.alpha-ii.com/Download/Main.html</v>
      </c>
      <c r="B171" t="s">
        <v>5</v>
      </c>
      <c r="C171" t="str">
        <f>HYPERLINK("https://www.reddit.com/r/opendirectories/comments/74iych", "The Chiptune/Game Music Open Directory Archive List")</f>
        <v>The Chiptune/Game Music Open Directory Archive List</v>
      </c>
      <c r="D171" t="s">
        <v>351</v>
      </c>
    </row>
    <row r="172" spans="1:4" x14ac:dyDescent="0.2">
      <c r="A172" t="str">
        <f>HYPERLINK("https://www.hcs64.com/usf", "https://www.hcs64.com/usf")</f>
        <v>https://www.hcs64.com/usf</v>
      </c>
      <c r="B172" t="s">
        <v>5</v>
      </c>
      <c r="C172" t="str">
        <f>HYPERLINK("https://www.reddit.com/r/opendirectories/comments/74iych", "The Chiptune/Game Music Open Directory Archive List")</f>
        <v>The Chiptune/Game Music Open Directory Archive List</v>
      </c>
      <c r="D172" t="s">
        <v>351</v>
      </c>
    </row>
    <row r="173" spans="1:4" x14ac:dyDescent="0.2">
      <c r="A173" t="str">
        <f>HYPERLINK("http://umich.edu/~archive", "http://umich.edu/~archive")</f>
        <v>http://umich.edu/~archive</v>
      </c>
      <c r="B173" t="s">
        <v>5</v>
      </c>
      <c r="C173" t="str">
        <f>HYPERLINK("https://www.reddit.com/r/opendirectories/comments/6g8y5g", "A bunch of Atari games")</f>
        <v>A bunch of Atari games</v>
      </c>
      <c r="D173" t="s">
        <v>690</v>
      </c>
    </row>
    <row r="174" spans="1:4" x14ac:dyDescent="0.2">
      <c r="A174" t="str">
        <f>HYPERLINK("http://bigdino.com/games", "http://bigdino.com/games")</f>
        <v>http://bigdino.com/games</v>
      </c>
      <c r="B174" t="s">
        <v>5</v>
      </c>
      <c r="C174" t="str">
        <f>HYPERLINK("https://www.reddit.com/r/opendirectories/comments/6almpp", "Lots of flash games")</f>
        <v>Lots of flash games</v>
      </c>
      <c r="D174" t="s">
        <v>691</v>
      </c>
    </row>
    <row r="175" spans="1:4" x14ac:dyDescent="0.2">
      <c r="A175" t="str">
        <f>HYPERLINK("http://dls.firone-land.com", "http://dls.firone-land.com")</f>
        <v>http://dls.firone-land.com</v>
      </c>
      <c r="B175" t="s">
        <v>5</v>
      </c>
      <c r="C175" t="str">
        <f>HYPERLINK("https://www.reddit.com/r/opendirectories/comments/684a5d", "Movies, Games, TV Shows, Random crap")</f>
        <v>Movies, Games, TV Shows, Random crap</v>
      </c>
      <c r="D175" t="s">
        <v>427</v>
      </c>
    </row>
    <row r="176" spans="1:4" x14ac:dyDescent="0.2">
      <c r="A176" t="str">
        <f>HYPERLINK("http://arcarc.xmission.com", "http://arcarc.xmission.com")</f>
        <v>http://arcarc.xmission.com</v>
      </c>
      <c r="B176" t="s">
        <v>5</v>
      </c>
      <c r="C176" t="str">
        <f>HYPERLINK("https://www.reddit.com/r/opendirectories/comments/2pjeyo", "Very Large Arcade Manual Listing")</f>
        <v>Very Large Arcade Manual Listing</v>
      </c>
      <c r="D176" t="s">
        <v>628</v>
      </c>
    </row>
    <row r="177" spans="1:5" x14ac:dyDescent="0.2">
      <c r="A177" t="str">
        <f>HYPERLINK("http://www.jarnot.com/misc", "http://www.jarnot.com/misc")</f>
        <v>http://www.jarnot.com/misc</v>
      </c>
      <c r="B177" t="s">
        <v>5</v>
      </c>
      <c r="C177" t="str">
        <f>HYPERLINK("https://www.reddit.com/r/opendirectories/comments/5asdox", "NES, SNES and GBA roms")</f>
        <v>NES, SNES and GBA roms</v>
      </c>
      <c r="D177" t="s">
        <v>215</v>
      </c>
    </row>
    <row r="178" spans="1:5" x14ac:dyDescent="0.2">
      <c r="A178" t="str">
        <f>HYPERLINK("http://www.vgmusic.com/music/console", "http://www.vgmusic.com/music/console")</f>
        <v>http://www.vgmusic.com/music/console</v>
      </c>
      <c r="B178" t="s">
        <v>5</v>
      </c>
      <c r="C178" t="str">
        <f>HYPERLINK("https://www.reddit.com/r/opendirectories/comments/4sq03n", "Huge collection of midi files of video game music from every console under the sun")</f>
        <v>Huge collection of midi files of video game music from every console under the sun</v>
      </c>
      <c r="D178" t="s">
        <v>354</v>
      </c>
    </row>
    <row r="179" spans="1:5" x14ac:dyDescent="0.2">
      <c r="A179" t="str">
        <f>HYPERLINK("http://psf2.joshw.info", "http://psf2.joshw.info")</f>
        <v>http://psf2.joshw.info</v>
      </c>
      <c r="B179" t="s">
        <v>5</v>
      </c>
      <c r="C179" t="str">
        <f>HYPERLINK("https://www.reddit.com/r/opendirectories/comments/4cwbgu", "So many PS2 roms")</f>
        <v>So many PS2 roms</v>
      </c>
      <c r="D179" t="s">
        <v>566</v>
      </c>
    </row>
    <row r="180" spans="1:5" x14ac:dyDescent="0.2">
      <c r="A180" t="str">
        <f>HYPERLINK("http://www.protoman.com", "http://www.protoman.com")</f>
        <v>http://www.protoman.com</v>
      </c>
      <c r="B180" t="s">
        <v>5</v>
      </c>
      <c r="C180" t="str">
        <f>HYPERLINK("https://www.reddit.com/r/opendirectories/comments/3eyi0g", "Video game music and soundtracks in various formats.")</f>
        <v>Video game music and soundtracks in various formats.</v>
      </c>
      <c r="D180" t="s">
        <v>357</v>
      </c>
    </row>
    <row r="181" spans="1:5" x14ac:dyDescent="0.2">
      <c r="A181" t="str">
        <f>HYPERLINK("http://ranger.befunk.com", "http://ranger.befunk.com")</f>
        <v>http://ranger.befunk.com</v>
      </c>
      <c r="B181" t="s">
        <v>5</v>
      </c>
      <c r="C181" t="str">
        <f>HYPERLINK("https://www.reddit.com/r/opendirectories/comments/3lm4gy", "/u/wearehidden's directory dump (with more organization / info)")</f>
        <v>/u/wearehidden's directory dump (with more organization / info)</v>
      </c>
      <c r="D181" t="s">
        <v>358</v>
      </c>
      <c r="E181" t="s">
        <v>359</v>
      </c>
    </row>
    <row r="182" spans="1:5" x14ac:dyDescent="0.2">
      <c r="A182" t="str">
        <f>HYPERLINK("http://c64.rulez.org", "http://c64.rulez.org")</f>
        <v>http://c64.rulez.org</v>
      </c>
      <c r="B182" t="s">
        <v>5</v>
      </c>
      <c r="C182" t="str">
        <f>HYPERLINK("https://www.reddit.com/r/opendirectories/comments/3gdbvk", "Games and other Commodore 64 things, seems to be an old scene group's archive.")</f>
        <v>Games and other Commodore 64 things, seems to be an old scene group's archive.</v>
      </c>
      <c r="D182" t="s">
        <v>692</v>
      </c>
    </row>
    <row r="183" spans="1:5" x14ac:dyDescent="0.2">
      <c r="A183" t="str">
        <f>HYPERLINK("http://www.evild.com/guides", "http://www.evild.com/guides")</f>
        <v>http://www.evild.com/guides</v>
      </c>
      <c r="B183" t="s">
        <v>5</v>
      </c>
      <c r="C183" t="str">
        <f>HYPERLINK("https://www.reddit.com/r/opendirectories/comments/3cisqe", "Old Game Guides")</f>
        <v>Old Game Guides</v>
      </c>
      <c r="D183" t="s">
        <v>242</v>
      </c>
    </row>
    <row r="184" spans="1:5" x14ac:dyDescent="0.2">
      <c r="A184" t="str">
        <f>HYPERLINK("http://85.214.41.244", "http://85.214.41.244")</f>
        <v>http://85.214.41.244</v>
      </c>
      <c r="B184" t="s">
        <v>5</v>
      </c>
      <c r="C184" t="str">
        <f>HYPERLINK("https://www.reddit.com/r/opendirectories/comments/3cdlge", "Anyone know what this is? I've been looking around this directory for about ten minutes and can't tell why it's here. Game screenshots, some executables.")</f>
        <v>Anyone know what this is? I've been looking around this directory for about ten minutes and can't tell why it's here. Game screenshots, some executables.</v>
      </c>
      <c r="D184" t="s">
        <v>693</v>
      </c>
    </row>
    <row r="185" spans="1:5" x14ac:dyDescent="0.2">
      <c r="A185" t="str">
        <f>HYPERLINK("http://usf.joshw.info", "http://usf.joshw.info")</f>
        <v>http://usf.joshw.info</v>
      </c>
      <c r="B185" t="s">
        <v>5</v>
      </c>
      <c r="C185" t="str">
        <f>HYPERLINK("https://www.reddit.com/r/opendirectories/comments/2ctw0g", "For the fellow VGM'ers here who love N64 Game music, a large collection of Miniusf rips! (playback help link in comments)")</f>
        <v>For the fellow VGM'ers here who love N64 Game music, a large collection of Miniusf rips! (playback help link in comments)</v>
      </c>
      <c r="D185" t="s">
        <v>572</v>
      </c>
    </row>
    <row r="186" spans="1:5" x14ac:dyDescent="0.2">
      <c r="A186" t="str">
        <f>HYPERLINK("http://chozabu.net/stuff", "http://chozabu.net/stuff")</f>
        <v>http://chozabu.net/stuff</v>
      </c>
      <c r="B186" t="s">
        <v>5</v>
      </c>
      <c r="C186" t="str">
        <f>HYPERLINK("https://www.reddit.com/r/opendirectories/comments/p4s2f", "A random collection of the games/toys I coded over the past 10 years")</f>
        <v>A random collection of the games/toys I coded over the past 10 years</v>
      </c>
      <c r="D186" t="s">
        <v>694</v>
      </c>
    </row>
  </sheetData>
  <pageMargins left="0.75" right="0.75" top="1" bottom="1" header="0.511811023622047" footer="0.511811023622047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05"/>
  <sheetViews>
    <sheetView zoomScaleNormal="100" workbookViewId="0"/>
  </sheetViews>
  <sheetFormatPr baseColWidth="10" defaultColWidth="8.83203125" defaultRowHeight="15" x14ac:dyDescent="0.2"/>
  <cols>
    <col min="1" max="1" width="50" customWidth="1"/>
    <col min="3" max="3" width="80" customWidth="1"/>
    <col min="4" max="4" width="11" customWidth="1"/>
    <col min="5" max="5" width="80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tr">
        <f>HYPERLINK("http://ingar.intranifty.net", "http://ingar.intranifty.net")</f>
        <v>http://ingar.intranifty.net</v>
      </c>
      <c r="B2" t="s">
        <v>5</v>
      </c>
      <c r="C2" t="str">
        <f t="shared" ref="C2:C10" si="0">HYPERLINK("https://www.reddit.com/r/opendirectories/comments/pp71gr", "2021-09-16 Daily post")</f>
        <v>2021-09-16 Daily post</v>
      </c>
      <c r="D2" t="s">
        <v>7</v>
      </c>
    </row>
    <row r="3" spans="1:5" x14ac:dyDescent="0.2">
      <c r="A3" t="str">
        <f>HYPERLINK("http://www.huzheng.org", "http://www.huzheng.org")</f>
        <v>http://www.huzheng.org</v>
      </c>
      <c r="B3" t="s">
        <v>5</v>
      </c>
      <c r="C3" t="str">
        <f t="shared" si="0"/>
        <v>2021-09-16 Daily post</v>
      </c>
      <c r="D3" t="s">
        <v>7</v>
      </c>
    </row>
    <row r="4" spans="1:5" x14ac:dyDescent="0.2">
      <c r="A4" t="str">
        <f>HYPERLINK("http://markburgess.org/music", "http://markburgess.org/music")</f>
        <v>http://markburgess.org/music</v>
      </c>
      <c r="B4" t="s">
        <v>5</v>
      </c>
      <c r="C4" t="str">
        <f t="shared" si="0"/>
        <v>2021-09-16 Daily post</v>
      </c>
      <c r="D4" t="s">
        <v>7</v>
      </c>
    </row>
    <row r="5" spans="1:5" x14ac:dyDescent="0.2">
      <c r="A5" t="str">
        <f>HYPERLINK("https://www.backtracking-music.de/uranus", "https://www.backtracking-music.de/uranus")</f>
        <v>https://www.backtracking-music.de/uranus</v>
      </c>
      <c r="B5" t="s">
        <v>5</v>
      </c>
      <c r="C5" t="str">
        <f t="shared" si="0"/>
        <v>2021-09-16 Daily post</v>
      </c>
      <c r="D5" t="s">
        <v>7</v>
      </c>
    </row>
    <row r="6" spans="1:5" x14ac:dyDescent="0.2">
      <c r="A6" t="str">
        <f>HYPERLINK("https://musicinsideout.wwno.org/audio", "https://musicinsideout.wwno.org/audio")</f>
        <v>https://musicinsideout.wwno.org/audio</v>
      </c>
      <c r="B6" t="s">
        <v>5</v>
      </c>
      <c r="C6" t="str">
        <f t="shared" si="0"/>
        <v>2021-09-16 Daily post</v>
      </c>
      <c r="D6" t="s">
        <v>7</v>
      </c>
    </row>
    <row r="7" spans="1:5" x14ac:dyDescent="0.2">
      <c r="A7" t="str">
        <f>HYPERLINK("https://music.maxton.xyz/tracks", "https://music.maxton.xyz/tracks")</f>
        <v>https://music.maxton.xyz/tracks</v>
      </c>
      <c r="B7" t="s">
        <v>5</v>
      </c>
      <c r="C7" t="str">
        <f t="shared" si="0"/>
        <v>2021-09-16 Daily post</v>
      </c>
      <c r="D7" t="s">
        <v>7</v>
      </c>
    </row>
    <row r="8" spans="1:5" x14ac:dyDescent="0.2">
      <c r="A8" t="str">
        <f>HYPERLINK("http://scipp.ucsc.edu/~profumo/misc", "http://scipp.ucsc.edu/~profumo/misc")</f>
        <v>http://scipp.ucsc.edu/~profumo/misc</v>
      </c>
      <c r="B8" t="s">
        <v>5</v>
      </c>
      <c r="C8" t="str">
        <f t="shared" si="0"/>
        <v>2021-09-16 Daily post</v>
      </c>
      <c r="D8" t="s">
        <v>7</v>
      </c>
    </row>
    <row r="9" spans="1:5" x14ac:dyDescent="0.2">
      <c r="A9" t="str">
        <f>HYPERLINK("https://people.duke.edu/~ajk17", "https://people.duke.edu/~ajk17")</f>
        <v>https://people.duke.edu/~ajk17</v>
      </c>
      <c r="B9" t="s">
        <v>5</v>
      </c>
      <c r="C9" t="str">
        <f t="shared" si="0"/>
        <v>2021-09-16 Daily post</v>
      </c>
      <c r="D9" t="s">
        <v>7</v>
      </c>
    </row>
    <row r="10" spans="1:5" x14ac:dyDescent="0.2">
      <c r="A10" t="str">
        <f>HYPERLINK("http://socialdance.stanford.edu/music", "http://socialdance.stanford.edu/music")</f>
        <v>http://socialdance.stanford.edu/music</v>
      </c>
      <c r="B10" t="s">
        <v>5</v>
      </c>
      <c r="C10" t="str">
        <f t="shared" si="0"/>
        <v>2021-09-16 Daily post</v>
      </c>
      <c r="D10" t="s">
        <v>7</v>
      </c>
    </row>
    <row r="11" spans="1:5" x14ac:dyDescent="0.2">
      <c r="A11" t="str">
        <f>HYPERLINK("https://www.espros.com", "https://www.espros.com")</f>
        <v>https://www.espros.com</v>
      </c>
      <c r="B11" t="s">
        <v>5</v>
      </c>
      <c r="C11" t="str">
        <f t="shared" ref="C11:C18" si="1">HYPERLINK("https://www.reddit.com/r/opendirectories/comments/pmqh90", "2021-09-12 Daily post")</f>
        <v>2021-09-12 Daily post</v>
      </c>
      <c r="D11" t="s">
        <v>459</v>
      </c>
    </row>
    <row r="12" spans="1:5" x14ac:dyDescent="0.2">
      <c r="A12" t="str">
        <f>HYPERLINK("https://www.konrow.com/download", "https://www.konrow.com/download")</f>
        <v>https://www.konrow.com/download</v>
      </c>
      <c r="B12" t="s">
        <v>5</v>
      </c>
      <c r="C12" t="str">
        <f t="shared" si="1"/>
        <v>2021-09-12 Daily post</v>
      </c>
      <c r="D12" t="s">
        <v>459</v>
      </c>
    </row>
    <row r="13" spans="1:5" x14ac:dyDescent="0.2">
      <c r="A13" t="str">
        <f>HYPERLINK("https://www.dukelearntoprogram.com/downloads", "https://www.dukelearntoprogram.com/downloads")</f>
        <v>https://www.dukelearntoprogram.com/downloads</v>
      </c>
      <c r="B13" t="s">
        <v>5</v>
      </c>
      <c r="C13" t="str">
        <f t="shared" si="1"/>
        <v>2021-09-12 Daily post</v>
      </c>
      <c r="D13" t="s">
        <v>459</v>
      </c>
    </row>
    <row r="14" spans="1:5" x14ac:dyDescent="0.2">
      <c r="A14" t="str">
        <f>HYPERLINK("https://apc.u-paris.fr/Downloads", "https://apc.u-paris.fr/Downloads")</f>
        <v>https://apc.u-paris.fr/Downloads</v>
      </c>
      <c r="B14" t="s">
        <v>5</v>
      </c>
      <c r="C14" t="str">
        <f t="shared" si="1"/>
        <v>2021-09-12 Daily post</v>
      </c>
      <c r="D14" t="s">
        <v>459</v>
      </c>
    </row>
    <row r="15" spans="1:5" x14ac:dyDescent="0.2">
      <c r="A15" t="str">
        <f>HYPERLINK("https://www.3dhistech.com/downloads", "https://www.3dhistech.com/downloads")</f>
        <v>https://www.3dhistech.com/downloads</v>
      </c>
      <c r="B15" t="s">
        <v>5</v>
      </c>
      <c r="C15" t="str">
        <f t="shared" si="1"/>
        <v>2021-09-12 Daily post</v>
      </c>
      <c r="D15" t="s">
        <v>459</v>
      </c>
    </row>
    <row r="16" spans="1:5" x14ac:dyDescent="0.2">
      <c r="A16" t="str">
        <f>HYPERLINK("http://www.tfcumc.org/music", "http://www.tfcumc.org/music")</f>
        <v>http://www.tfcumc.org/music</v>
      </c>
      <c r="B16" t="s">
        <v>5</v>
      </c>
      <c r="C16" t="str">
        <f t="shared" si="1"/>
        <v>2021-09-12 Daily post</v>
      </c>
      <c r="D16" t="s">
        <v>459</v>
      </c>
    </row>
    <row r="17" spans="1:5" x14ac:dyDescent="0.2">
      <c r="A17" t="str">
        <f>HYPERLINK("https://dalemuus.home.xs4all.nl", "https://dalemuus.home.xs4all.nl")</f>
        <v>https://dalemuus.home.xs4all.nl</v>
      </c>
      <c r="B17" t="s">
        <v>5</v>
      </c>
      <c r="C17" t="str">
        <f t="shared" si="1"/>
        <v>2021-09-12 Daily post</v>
      </c>
      <c r="D17" t="s">
        <v>459</v>
      </c>
    </row>
    <row r="18" spans="1:5" x14ac:dyDescent="0.2">
      <c r="A18" t="str">
        <f>HYPERLINK("http://www.andrelouis.com/media", "http://www.andrelouis.com/media")</f>
        <v>http://www.andrelouis.com/media</v>
      </c>
      <c r="B18" t="s">
        <v>5</v>
      </c>
      <c r="C18" t="str">
        <f t="shared" si="1"/>
        <v>2021-09-12 Daily post</v>
      </c>
      <c r="D18" t="s">
        <v>459</v>
      </c>
    </row>
    <row r="19" spans="1:5" x14ac:dyDescent="0.2">
      <c r="A19" t="str">
        <f>HYPERLINK("http://wateryaml.cn", "http://wateryaml.cn")</f>
        <v>http://wateryaml.cn</v>
      </c>
      <c r="B19" t="s">
        <v>5</v>
      </c>
      <c r="C19" t="str">
        <f t="shared" ref="C19:C25" si="2">HYPERLINK("https://www.reddit.com/r/opendirectories/comments/plkcmr", "2021-09-10 Daily post")</f>
        <v>2021-09-10 Daily post</v>
      </c>
      <c r="D19" t="s">
        <v>261</v>
      </c>
      <c r="E19" t="s">
        <v>61</v>
      </c>
    </row>
    <row r="20" spans="1:5" x14ac:dyDescent="0.2">
      <c r="A20" t="str">
        <f>HYPERLINK("https://rohandrape.net/rd", "https://rohandrape.net/rd")</f>
        <v>https://rohandrape.net/rd</v>
      </c>
      <c r="B20" t="s">
        <v>5</v>
      </c>
      <c r="C20" t="str">
        <f t="shared" si="2"/>
        <v>2021-09-10 Daily post</v>
      </c>
      <c r="D20" t="s">
        <v>261</v>
      </c>
      <c r="E20" t="s">
        <v>61</v>
      </c>
    </row>
    <row r="21" spans="1:5" x14ac:dyDescent="0.2">
      <c r="A21" t="str">
        <f>HYPERLINK("https://www.cs.cmu.edu/~lblum/flac/Handouts_pdf", "https://www.cs.cmu.edu/~lblum/flac/Handouts_pdf")</f>
        <v>https://www.cs.cmu.edu/~lblum/flac/Handouts_pdf</v>
      </c>
      <c r="B21" t="s">
        <v>5</v>
      </c>
      <c r="C21" t="str">
        <f t="shared" si="2"/>
        <v>2021-09-10 Daily post</v>
      </c>
      <c r="D21" t="s">
        <v>261</v>
      </c>
      <c r="E21" t="s">
        <v>61</v>
      </c>
    </row>
    <row r="22" spans="1:5" x14ac:dyDescent="0.2">
      <c r="A22" t="str">
        <f>HYPERLINK("http://www.lindberg.no/hires", "http://www.lindberg.no/hires")</f>
        <v>http://www.lindberg.no/hires</v>
      </c>
      <c r="B22" t="s">
        <v>5</v>
      </c>
      <c r="C22" t="str">
        <f t="shared" si="2"/>
        <v>2021-09-10 Daily post</v>
      </c>
      <c r="D22" t="s">
        <v>261</v>
      </c>
      <c r="E22" t="s">
        <v>61</v>
      </c>
    </row>
    <row r="23" spans="1:5" x14ac:dyDescent="0.2">
      <c r="A23" t="str">
        <f>HYPERLINK("https://samples.ffmpeg.org", "https://samples.ffmpeg.org")</f>
        <v>https://samples.ffmpeg.org</v>
      </c>
      <c r="B23" t="s">
        <v>5</v>
      </c>
      <c r="C23" t="str">
        <f t="shared" si="2"/>
        <v>2021-09-10 Daily post</v>
      </c>
      <c r="D23" t="s">
        <v>261</v>
      </c>
      <c r="E23" t="s">
        <v>61</v>
      </c>
    </row>
    <row r="24" spans="1:5" x14ac:dyDescent="0.2">
      <c r="A24" t="str">
        <f>HYPERLINK("https://files.valhallagameplays.info", "https://files.valhallagameplays.info")</f>
        <v>https://files.valhallagameplays.info</v>
      </c>
      <c r="B24" t="s">
        <v>5</v>
      </c>
      <c r="C24" t="str">
        <f t="shared" si="2"/>
        <v>2021-09-10 Daily post</v>
      </c>
      <c r="D24" t="s">
        <v>261</v>
      </c>
      <c r="E24" t="s">
        <v>61</v>
      </c>
    </row>
    <row r="25" spans="1:5" x14ac:dyDescent="0.2">
      <c r="A25" t="str">
        <f>HYPERLINK("https://www.nlnetlabs.nl/downloads", "https://www.nlnetlabs.nl/downloads")</f>
        <v>https://www.nlnetlabs.nl/downloads</v>
      </c>
      <c r="B25" t="s">
        <v>5</v>
      </c>
      <c r="C25" t="str">
        <f t="shared" si="2"/>
        <v>2021-09-10 Daily post</v>
      </c>
      <c r="D25" t="s">
        <v>261</v>
      </c>
      <c r="E25" t="s">
        <v>61</v>
      </c>
    </row>
    <row r="26" spans="1:5" x14ac:dyDescent="0.2">
      <c r="A26" t="str">
        <f>HYPERLINK("http://nwifiresticks.com", "http://nwifiresticks.com")</f>
        <v>http://nwifiresticks.com</v>
      </c>
      <c r="B26" t="s">
        <v>5</v>
      </c>
      <c r="C26" t="str">
        <f>HYPERLINK("https://www.reddit.com/r/opendirectories/comments/mhdtw2", "Mixed Directories")</f>
        <v>Mixed Directories</v>
      </c>
      <c r="D26" t="s">
        <v>41</v>
      </c>
    </row>
    <row r="27" spans="1:5" x14ac:dyDescent="0.2">
      <c r="A27" t="str">
        <f>HYPERLINK("https://zissou.infosci.cornell.edu/convokit", "https://zissou.infosci.cornell.edu/convokit")</f>
        <v>https://zissou.infosci.cornell.edu/convokit</v>
      </c>
      <c r="B27" t="s">
        <v>5</v>
      </c>
      <c r="C27" t="str">
        <f>HYPERLINK("https://www.reddit.com/r/opendirectories/comments/pd4gjc", "discussion board archives, probably for some sort of machine learning program")</f>
        <v>discussion board archives, probably for some sort of machine learning program</v>
      </c>
      <c r="D27" t="s">
        <v>695</v>
      </c>
    </row>
    <row r="28" spans="1:5" x14ac:dyDescent="0.2">
      <c r="A28" t="str">
        <f>HYPERLINK("https://soft.uclv.edu.cu", "https://soft.uclv.edu.cu")</f>
        <v>https://soft.uclv.edu.cu</v>
      </c>
      <c r="B28" t="s">
        <v>5</v>
      </c>
      <c r="C28" t="str">
        <f>HYPERLINK("https://www.reddit.com/r/opendirectories/comments/pcfo5q", "Lots of Computer Software and Windows Iso (CUBAN COLLEGE)")</f>
        <v>Lots of Computer Software and Windows Iso (CUBAN COLLEGE)</v>
      </c>
      <c r="D28" t="s">
        <v>696</v>
      </c>
    </row>
    <row r="29" spans="1:5" x14ac:dyDescent="0.2">
      <c r="A29" t="str">
        <f>HYPERLINK("http://anobisdownload.persiangig.com", "http://anobisdownload.persiangig.com")</f>
        <v>http://anobisdownload.persiangig.com</v>
      </c>
      <c r="B29" t="s">
        <v>5</v>
      </c>
      <c r="C29" t="str">
        <f>HYPERLINK("https://www.reddit.com/r/opendirectories/comments/p5yxvc", "software images")</f>
        <v>software images</v>
      </c>
      <c r="D29" t="s">
        <v>697</v>
      </c>
    </row>
    <row r="30" spans="1:5" x14ac:dyDescent="0.2">
      <c r="A30" t="str">
        <f>HYPERLINK("http://download.wombat.cz", "http://download.wombat.cz")</f>
        <v>http://download.wombat.cz</v>
      </c>
      <c r="B30" t="s">
        <v>5</v>
      </c>
      <c r="C30" t="str">
        <f>HYPERLINK("https://www.reddit.com/r/opendirectories/comments/owj3yu", "TV Shows &amp;amp; Software")</f>
        <v>TV Shows &amp;amp; Software</v>
      </c>
      <c r="D30" t="s">
        <v>18</v>
      </c>
    </row>
    <row r="31" spans="1:5" x14ac:dyDescent="0.2">
      <c r="A31" t="str">
        <f>HYPERLINK("http://jerryching.spdns.de/Software", "http://jerryching.spdns.de/Software")</f>
        <v>http://jerryching.spdns.de/Software</v>
      </c>
      <c r="B31" t="s">
        <v>5</v>
      </c>
      <c r="C31" t="str">
        <f>HYPERLINK("https://www.reddit.com/r/opendirectories/comments/ou5nne", "Windows Software &amp;amp; Games")</f>
        <v>Windows Software &amp;amp; Games</v>
      </c>
      <c r="D31" t="s">
        <v>20</v>
      </c>
    </row>
    <row r="32" spans="1:5" x14ac:dyDescent="0.2">
      <c r="A32" t="str">
        <f>HYPERLINK("http://www.it.nrru.ac.th/download", "http://www.it.nrru.ac.th/download")</f>
        <v>http://www.it.nrru.ac.th/download</v>
      </c>
      <c r="B32" t="s">
        <v>5</v>
      </c>
      <c r="C32" t="str">
        <f>HYPERLINK("https://www.reddit.com/r/opendirectories/comments/ou5gmi", "Software &amp;amp; ISOs")</f>
        <v>Software &amp;amp; ISOs</v>
      </c>
      <c r="D32" t="s">
        <v>20</v>
      </c>
    </row>
    <row r="33" spans="1:5" x14ac:dyDescent="0.2">
      <c r="A33" t="str">
        <f>HYPERLINK("http://124.29.199.194", "http://124.29.199.194")</f>
        <v>http://124.29.199.194</v>
      </c>
      <c r="B33" t="s">
        <v>5</v>
      </c>
      <c r="C33" t="str">
        <f>HYPERLINK("https://www.reddit.com/r/opendirectories/comments/lu4ejy", "Whole Bunch of Movies!")</f>
        <v>Whole Bunch of Movies!</v>
      </c>
      <c r="D33" t="s">
        <v>373</v>
      </c>
    </row>
    <row r="34" spans="1:5" x14ac:dyDescent="0.2">
      <c r="A34" t="str">
        <f>HYPERLINK("https://student.cs.uwaterloo.ca/~cs247/current", "https://student.cs.uwaterloo.ca/~cs247/current")</f>
        <v>https://student.cs.uwaterloo.ca/~cs247/current</v>
      </c>
      <c r="B34" t="s">
        <v>5</v>
      </c>
      <c r="C34" t="str">
        <f>HYPERLINK("https://www.reddit.com/r/opendirectories/comments/nqprtq", "Recent software design lecture videos")</f>
        <v>Recent software design lecture videos</v>
      </c>
      <c r="D34" t="s">
        <v>28</v>
      </c>
    </row>
    <row r="35" spans="1:5" x14ac:dyDescent="0.2">
      <c r="A35" t="str">
        <f>HYPERLINK("https://programmes.leliene.eu", "https://programmes.leliene.eu")</f>
        <v>https://programmes.leliene.eu</v>
      </c>
      <c r="B35" t="s">
        <v>5</v>
      </c>
      <c r="C35" t="str">
        <f>HYPERLINK("https://www.reddit.com/r/opendirectories/comments/ndh97d", "Games and softwares")</f>
        <v>Games and softwares</v>
      </c>
      <c r="D35" t="s">
        <v>519</v>
      </c>
    </row>
    <row r="36" spans="1:5" x14ac:dyDescent="0.2">
      <c r="A36" t="str">
        <f>HYPERLINK("http://51.15.178.223", "http://51.15.178.223")</f>
        <v>http://51.15.178.223</v>
      </c>
      <c r="B36" t="s">
        <v>5</v>
      </c>
      <c r="C36" t="str">
        <f>HYPERLINK("https://www.reddit.com/r/opendirectories/comments/bx2qjh", "[FR/EN] Movies / TV Shows / Softwares / Music / Misc")</f>
        <v>[FR/EN] Movies / TV Shows / Softwares / Music / Misc</v>
      </c>
      <c r="D36" t="s">
        <v>273</v>
      </c>
      <c r="E36" t="s">
        <v>51</v>
      </c>
    </row>
    <row r="37" spans="1:5" x14ac:dyDescent="0.2">
      <c r="A37" t="str">
        <f>HYPERLINK("http://www.cadosh.com", "http://www.cadosh.com")</f>
        <v>http://www.cadosh.com</v>
      </c>
      <c r="B37" t="s">
        <v>5</v>
      </c>
      <c r="C37" t="str">
        <f>HYPERLINK("https://www.reddit.com/r/opendirectories/comments/jgk8m4", "SOFTWARE for WIN/ANDROID and some Arab docs")</f>
        <v>SOFTWARE for WIN/ANDROID and some Arab docs</v>
      </c>
      <c r="D37" t="s">
        <v>585</v>
      </c>
    </row>
    <row r="38" spans="1:5" x14ac:dyDescent="0.2">
      <c r="A38" t="str">
        <f>HYPERLINK("http://lutinmalin.demeter.feralhosting.com", "http://lutinmalin.demeter.feralhosting.com")</f>
        <v>http://lutinmalin.demeter.feralhosting.com</v>
      </c>
      <c r="B38" t="s">
        <v>5</v>
      </c>
      <c r="C38" t="str">
        <f>HYPERLINK("https://www.reddit.com/r/opendirectories/comments/mkywfa", "500 greatest song!")</f>
        <v>500 greatest song!</v>
      </c>
      <c r="D38" t="s">
        <v>386</v>
      </c>
    </row>
    <row r="39" spans="1:5" x14ac:dyDescent="0.2">
      <c r="A39" t="str">
        <f>HYPERLINK("http://techno.pnru.ac.th/Program", "http://techno.pnru.ac.th/Program")</f>
        <v>http://techno.pnru.ac.th/Program</v>
      </c>
      <c r="B39" t="s">
        <v>5</v>
      </c>
      <c r="C39" t="str">
        <f>HYPERLINK("https://www.reddit.com/r/opendirectories/comments/mhdtw2", "Mixed Directories")</f>
        <v>Mixed Directories</v>
      </c>
      <c r="D39" t="s">
        <v>41</v>
      </c>
    </row>
    <row r="40" spans="1:5" x14ac:dyDescent="0.2">
      <c r="A40" t="str">
        <f>HYPERLINK("http://alvarestech.com/temp", "http://alvarestech.com/temp")</f>
        <v>http://alvarestech.com/temp</v>
      </c>
      <c r="B40" t="s">
        <v>5</v>
      </c>
      <c r="C40" t="str">
        <f>HYPERLINK("https://www.reddit.com/r/opendirectories/comments/mhdtw2", "Mixed Directories")</f>
        <v>Mixed Directories</v>
      </c>
      <c r="D40" t="s">
        <v>41</v>
      </c>
    </row>
    <row r="41" spans="1:5" x14ac:dyDescent="0.2">
      <c r="A41" t="str">
        <f>HYPERLINK("http://www.aquam.ag.spb.ru", "http://www.aquam.ag.spb.ru")</f>
        <v>http://www.aquam.ag.spb.ru</v>
      </c>
      <c r="B41" t="s">
        <v>5</v>
      </c>
      <c r="C41" t="str">
        <f>HYPERLINK("https://www.reddit.com/r/opendirectories/comments/mhdtw2", "Mixed Directories")</f>
        <v>Mixed Directories</v>
      </c>
      <c r="D41" t="s">
        <v>41</v>
      </c>
    </row>
    <row r="42" spans="1:5" x14ac:dyDescent="0.2">
      <c r="A42" t="str">
        <f>HYPERLINK("http://amirskyheart.persiangig.com", "http://amirskyheart.persiangig.com")</f>
        <v>http://amirskyheart.persiangig.com</v>
      </c>
      <c r="B42" t="s">
        <v>5</v>
      </c>
      <c r="C42" t="str">
        <f>HYPERLINK("https://www.reddit.com/r/opendirectories/comments/mhdtw2", "Mixed Directories")</f>
        <v>Mixed Directories</v>
      </c>
      <c r="D42" t="s">
        <v>41</v>
      </c>
    </row>
    <row r="43" spans="1:5" x14ac:dyDescent="0.2">
      <c r="A43" t="str">
        <f>HYPERLINK("http://content.segaxtreme.net", "http://content.segaxtreme.net")</f>
        <v>http://content.segaxtreme.net</v>
      </c>
      <c r="B43" t="s">
        <v>5</v>
      </c>
      <c r="C43" t="str">
        <f>HYPERLINK("https://www.reddit.com/r/opendirectories/comments/mhd9hh", "Games...?")</f>
        <v>Games...?</v>
      </c>
      <c r="D43" t="s">
        <v>41</v>
      </c>
    </row>
    <row r="44" spans="1:5" x14ac:dyDescent="0.2">
      <c r="A44" t="str">
        <f>HYPERLINK("http://45.156.187.204", "http://45.156.187.204")</f>
        <v>http://45.156.187.204</v>
      </c>
      <c r="B44" t="s">
        <v>5</v>
      </c>
      <c r="C44" t="str">
        <f>HYPERLINK("https://www.reddit.com/r/opendirectories/comments/mh3gpk", "Various Software &amp;amp; ISOs")</f>
        <v>Various Software &amp;amp; ISOs</v>
      </c>
      <c r="D44" t="s">
        <v>41</v>
      </c>
    </row>
    <row r="45" spans="1:5" x14ac:dyDescent="0.2">
      <c r="A45" t="str">
        <f>HYPERLINK("http://msp.ucsd.edu", "http://msp.ucsd.edu")</f>
        <v>http://msp.ucsd.edu</v>
      </c>
      <c r="B45" t="s">
        <v>5</v>
      </c>
      <c r="C45" t="str">
        <f>HYPERLINK("https://www.reddit.com/r/opendirectories/comments/mf0wub", "UCSD Electronic Music Program")</f>
        <v>UCSD Electronic Music Program</v>
      </c>
      <c r="D45" t="s">
        <v>42</v>
      </c>
    </row>
    <row r="46" spans="1:5" x14ac:dyDescent="0.2">
      <c r="A46" t="str">
        <f>HYPERLINK("http://foto.teoteater.ee", "http://foto.teoteater.ee")</f>
        <v>http://foto.teoteater.ee</v>
      </c>
      <c r="B46" t="s">
        <v>5</v>
      </c>
      <c r="C46" t="str">
        <f>HYPERLINK("https://www.reddit.com/r/opendirectories/comments/m2zs00", "Sound Effects.....")</f>
        <v>Sound Effects.....</v>
      </c>
      <c r="D46" t="s">
        <v>388</v>
      </c>
    </row>
    <row r="47" spans="1:5" x14ac:dyDescent="0.2">
      <c r="A47" t="str">
        <f>HYPERLINK("https://dl.malwat.ch", "https://dl.malwat.ch")</f>
        <v>https://dl.malwat.ch</v>
      </c>
      <c r="B47" t="s">
        <v>5</v>
      </c>
      <c r="C47" t="str">
        <f>HYPERLINK("https://www.reddit.com/r/opendirectories/comments/lj0l3j", "Software: windows, ms-dos, useful applications etc. Great speeds.")</f>
        <v>Software: windows, ms-dos, useful applications etc. Great speeds.</v>
      </c>
      <c r="D47" t="s">
        <v>698</v>
      </c>
    </row>
    <row r="48" spans="1:5" x14ac:dyDescent="0.2">
      <c r="A48" t="str">
        <f>HYPERLINK("http://www.groovydomain.com/gallery", "http://www.groovydomain.com/gallery")</f>
        <v>http://www.groovydomain.com/gallery</v>
      </c>
      <c r="B48" t="s">
        <v>5</v>
      </c>
      <c r="C48" t="str">
        <f>HYPERLINK("https://www.reddit.com/r/opendirectories/comments/5dzb6s", "Rock MP3 Albums")</f>
        <v>Rock MP3 Albums</v>
      </c>
      <c r="D48" t="s">
        <v>211</v>
      </c>
    </row>
    <row r="49" spans="1:5" x14ac:dyDescent="0.2">
      <c r="A49" t="str">
        <f>HYPERLINK("http://hcmaslov.d-real.sci-nnov.ru", "http://hcmaslov.d-real.sci-nnov.ru")</f>
        <v>http://hcmaslov.d-real.sci-nnov.ru</v>
      </c>
      <c r="B49" t="s">
        <v>5</v>
      </c>
      <c r="C49" t="str">
        <f>HYPERLINK("https://www.reddit.com/r/opendirectories/comments/6vw8h5", "Russian guy's public folder of mp3s, family photos, cat pictures, and documents")</f>
        <v>Russian guy's public folder of mp3s, family photos, cat pictures, and documents</v>
      </c>
      <c r="D49" t="s">
        <v>393</v>
      </c>
      <c r="E49" t="s">
        <v>156</v>
      </c>
    </row>
    <row r="50" spans="1:5" x14ac:dyDescent="0.2">
      <c r="A50" t="str">
        <f>HYPERLINK("https://malwat.ch/software", "https://malwat.ch/software")</f>
        <v>https://malwat.ch/software</v>
      </c>
      <c r="B50" t="s">
        <v>5</v>
      </c>
      <c r="C50" t="str">
        <f>HYPERLINK("https://www.reddit.com/r/opendirectories/comments/kgeatj", "Not really an open directory, but I'll put it here just in case.")</f>
        <v>Not really an open directory, but I'll put it here just in case.</v>
      </c>
      <c r="D50" t="s">
        <v>699</v>
      </c>
    </row>
    <row r="51" spans="1:5" x14ac:dyDescent="0.2">
      <c r="A51" t="str">
        <f>HYPERLINK("http://www.splattermind.com", "http://www.splattermind.com")</f>
        <v>http://www.splattermind.com</v>
      </c>
      <c r="B51" t="s">
        <v>5</v>
      </c>
      <c r="C51" t="str">
        <f>HYPERLINK("https://www.reddit.com/r/opendirectories/comments/aby1kp", "music video and audio")</f>
        <v>music video and audio</v>
      </c>
      <c r="D51" t="s">
        <v>303</v>
      </c>
    </row>
    <row r="52" spans="1:5" x14ac:dyDescent="0.2">
      <c r="A52" t="str">
        <f>HYPERLINK("https://home.pilsfree.net", "https://home.pilsfree.net")</f>
        <v>https://home.pilsfree.net</v>
      </c>
      <c r="B52" t="s">
        <v>5</v>
      </c>
      <c r="C52" t="str">
        <f>HYPERLINK("https://www.reddit.com/r/opendirectories/comments/ape43b", "list of RE-POST's")</f>
        <v>list of RE-POST's</v>
      </c>
      <c r="D52" t="s">
        <v>396</v>
      </c>
    </row>
    <row r="53" spans="1:5" x14ac:dyDescent="0.2">
      <c r="A53" t="str">
        <f>HYPERLINK("http://62.122.138.133", "http://62.122.138.133")</f>
        <v>http://62.122.138.133</v>
      </c>
      <c r="B53" t="s">
        <v>5</v>
      </c>
      <c r="C53" t="str">
        <f>HYPERLINK("https://www.reddit.com/r/opendirectories/comments/jse3jd", "Various Music from all around the world")</f>
        <v>Various Music from all around the world</v>
      </c>
      <c r="D53" t="s">
        <v>266</v>
      </c>
    </row>
    <row r="54" spans="1:5" x14ac:dyDescent="0.2">
      <c r="A54" t="str">
        <f>HYPERLINK("https://download.itadmins.net", "https://download.itadmins.net")</f>
        <v>https://download.itadmins.net</v>
      </c>
      <c r="B54" t="s">
        <v>5</v>
      </c>
      <c r="C54" t="str">
        <f>HYPERLINK("https://www.reddit.com/r/opendirectories/comments/hre89y", "Software, programming, etc (2015)")</f>
        <v>Software, programming, etc (2015)</v>
      </c>
      <c r="D54" t="s">
        <v>700</v>
      </c>
    </row>
    <row r="55" spans="1:5" x14ac:dyDescent="0.2">
      <c r="A55" t="str">
        <f>HYPERLINK("http://cdn.net-load.com", "http://cdn.net-load.com")</f>
        <v>http://cdn.net-load.com</v>
      </c>
      <c r="B55" t="s">
        <v>5</v>
      </c>
      <c r="C55" t="str">
        <f>HYPERLINK("https://www.reddit.com/r/opendirectories/comments/hq01h9", "Huge collection of random softwares check it out")</f>
        <v>Huge collection of random softwares check it out</v>
      </c>
      <c r="D55" t="s">
        <v>404</v>
      </c>
    </row>
    <row r="56" spans="1:5" x14ac:dyDescent="0.2">
      <c r="A56" t="str">
        <f>HYPERLINK("http://dl.kookdownload.com", "http://dl.kookdownload.com")</f>
        <v>http://dl.kookdownload.com</v>
      </c>
      <c r="B56" t="s">
        <v>5</v>
      </c>
      <c r="C56" t="str">
        <f>HYPERLINK("https://www.reddit.com/r/opendirectories/comments/gwvqt9", "Index of /game/computer/ (Thanks to our Arab Brothers) very fast server")</f>
        <v>Index of /game/computer/ (Thanks to our Arab Brothers) very fast server</v>
      </c>
      <c r="D56" t="s">
        <v>84</v>
      </c>
    </row>
    <row r="57" spans="1:5" x14ac:dyDescent="0.2">
      <c r="A57" t="str">
        <f>HYPERLINK("https://iusethis.luo.ma", "https://iusethis.luo.ma")</f>
        <v>https://iusethis.luo.ma</v>
      </c>
      <c r="B57" t="s">
        <v>5</v>
      </c>
      <c r="C57" t="str">
        <f>HYPERLINK("https://www.reddit.com/r/opendirectories/comments/gjbpk5", "Software")</f>
        <v>Software</v>
      </c>
      <c r="D57" t="s">
        <v>701</v>
      </c>
    </row>
    <row r="58" spans="1:5" x14ac:dyDescent="0.2">
      <c r="A58" t="str">
        <f>HYPERLINK("http://mamushkadogs.arcekane.com/Backups", "http://mamushkadogs.arcekane.com/Backups")</f>
        <v>http://mamushkadogs.arcekane.com/Backups</v>
      </c>
      <c r="B58" t="s">
        <v>5</v>
      </c>
      <c r="C58" t="str">
        <f>HYPERLINK("https://www.reddit.com/r/opendirectories/comments/gaa3tv", "1001 books you must read before you die")</f>
        <v>1001 books you must read before you die</v>
      </c>
      <c r="D58" t="s">
        <v>650</v>
      </c>
    </row>
    <row r="59" spans="1:5" x14ac:dyDescent="0.2">
      <c r="A59" t="str">
        <f>HYPERLINK("http://malus.exotica.org.uk/~buzz", "http://malus.exotica.org.uk/~buzz")</f>
        <v>http://malus.exotica.org.uk/~buzz</v>
      </c>
      <c r="B59" t="s">
        <v>5</v>
      </c>
      <c r="C59" t="str">
        <f>HYPERLINK("https://www.reddit.com/r/opendirectories/comments/f9s434", "Byte Magazine old issues in PDF from 1975 till 1986 (and some others from later years). High rez scans.")</f>
        <v>Byte Magazine old issues in PDF from 1975 till 1986 (and some others from later years). High rez scans.</v>
      </c>
      <c r="D59" t="s">
        <v>603</v>
      </c>
    </row>
    <row r="60" spans="1:5" x14ac:dyDescent="0.2">
      <c r="A60" t="str">
        <f>HYPERLINK("https://doc.downloadha.com", "https://doc.downloadha.com")</f>
        <v>https://doc.downloadha.com</v>
      </c>
      <c r="B60" t="s">
        <v>5</v>
      </c>
      <c r="C60" t="str">
        <f>HYPERLINK("https://www.reddit.com/r/opendirectories/comments/d5e6ka", "Lots of Documentaries, BBC, Nature, MvGroup etc.")</f>
        <v>Lots of Documentaries, BBC, Nature, MvGroup etc.</v>
      </c>
      <c r="D60" t="s">
        <v>407</v>
      </c>
    </row>
    <row r="61" spans="1:5" x14ac:dyDescent="0.2">
      <c r="A61" t="str">
        <f>HYPERLINK("http://cd.textfiles.com/dfeno1", "http://cd.textfiles.com/dfeno1")</f>
        <v>http://cd.textfiles.com/dfeno1</v>
      </c>
      <c r="B61" t="s">
        <v>5</v>
      </c>
      <c r="C61" t="str">
        <f>HYPERLINK("https://www.reddit.com/r/opendirectories/comments/ewz7qh", "Digital Freedom Enterprizes CD 1995 and many more Shareware/Software collection CDs from the 80's and 90's")</f>
        <v>Digital Freedom Enterprizes CD 1995 and many more Shareware/Software collection CDs from the 80's and 90's</v>
      </c>
      <c r="D61" t="s">
        <v>702</v>
      </c>
    </row>
    <row r="62" spans="1:5" x14ac:dyDescent="0.2">
      <c r="A62" t="str">
        <f>HYPERLINK("http://fringe.davesource.com", "http://fringe.davesource.com")</f>
        <v>http://fringe.davesource.com</v>
      </c>
      <c r="B62" t="s">
        <v>5</v>
      </c>
      <c r="C62" t="str">
        <f>HYPERLINK("https://www.reddit.com/r/opendirectories/comments/8tprou", "I'm back again with the HAM!")</f>
        <v>I'm back again with the HAM!</v>
      </c>
      <c r="D62" t="s">
        <v>533</v>
      </c>
    </row>
    <row r="63" spans="1:5" x14ac:dyDescent="0.2">
      <c r="A63" t="str">
        <f>HYPERLINK("https://silentdragon.com", "https://silentdragon.com")</f>
        <v>https://silentdragon.com</v>
      </c>
      <c r="B63" t="s">
        <v>5</v>
      </c>
      <c r="C63" t="str">
        <f>HYPERLINK("https://www.reddit.com/r/opendirectories/comments/esyimn", "A couple open directories (apk, software, music etc)")</f>
        <v>A couple open directories (apk, software, music etc)</v>
      </c>
      <c r="D63" t="s">
        <v>97</v>
      </c>
    </row>
    <row r="64" spans="1:5" x14ac:dyDescent="0.2">
      <c r="A64" t="str">
        <f>HYPERLINK("https://djdirks.home.xs4all.nl/Android", "https://djdirks.home.xs4all.nl/Android")</f>
        <v>https://djdirks.home.xs4all.nl/Android</v>
      </c>
      <c r="B64" t="s">
        <v>5</v>
      </c>
      <c r="C64" t="str">
        <f>HYPERLINK("https://www.reddit.com/r/opendirectories/comments/esyimn", "A couple open directories (apk, software, music etc)")</f>
        <v>A couple open directories (apk, software, music etc)</v>
      </c>
      <c r="D64" t="s">
        <v>97</v>
      </c>
    </row>
    <row r="65" spans="1:5" x14ac:dyDescent="0.2">
      <c r="A65" t="str">
        <f>HYPERLINK("http://download.nust.na", "http://download.nust.na")</f>
        <v>http://download.nust.na</v>
      </c>
      <c r="B65" t="s">
        <v>5</v>
      </c>
      <c r="C65" t="str">
        <f>HYPERLINK("https://www.reddit.com/r/opendirectories/comments/esyimn", "A couple open directories (apk, software, music etc)")</f>
        <v>A couple open directories (apk, software, music etc)</v>
      </c>
      <c r="D65" t="s">
        <v>97</v>
      </c>
    </row>
    <row r="66" spans="1:5" x14ac:dyDescent="0.2">
      <c r="A66" t="str">
        <f>HYPERLINK("http://pub.agrarix.net", "http://pub.agrarix.net")</f>
        <v>http://pub.agrarix.net</v>
      </c>
      <c r="B66" t="s">
        <v>5</v>
      </c>
      <c r="C66" t="str">
        <f>HYPERLINK("https://www.reddit.com/r/opendirectories/comments/a0bcd1", "Tons of software")</f>
        <v>Tons of software</v>
      </c>
      <c r="D66" t="s">
        <v>534</v>
      </c>
    </row>
    <row r="67" spans="1:5" x14ac:dyDescent="0.2">
      <c r="A67" t="str">
        <f>HYPERLINK("https://www.azzcardfile.com/dl", "https://www.azzcardfile.com/dl")</f>
        <v>https://www.azzcardfile.com/dl</v>
      </c>
      <c r="B67" t="s">
        <v>5</v>
      </c>
      <c r="C67" t="str">
        <f>HYPERLINK("https://www.reddit.com/r/opendirectories/comments/e7dgqn", "Cardfiles on various topics, software to open them included")</f>
        <v>Cardfiles on various topics, software to open them included</v>
      </c>
      <c r="D67" t="s">
        <v>612</v>
      </c>
    </row>
    <row r="68" spans="1:5" x14ac:dyDescent="0.2">
      <c r="A68" t="str">
        <f>HYPERLINK("http://ftp.cvut.cz", "http://ftp.cvut.cz")</f>
        <v>http://ftp.cvut.cz</v>
      </c>
      <c r="B68" t="s">
        <v>5</v>
      </c>
      <c r="C68" t="str">
        <f>HYPERLINK("https://www.reddit.com/r/opendirectories/comments/e1cala", "Index of patches and projects contributed by software devs")</f>
        <v>Index of patches and projects contributed by software devs</v>
      </c>
      <c r="D68" t="s">
        <v>104</v>
      </c>
    </row>
    <row r="69" spans="1:5" x14ac:dyDescent="0.2">
      <c r="A69" t="str">
        <f>HYPERLINK("http://95.129.137.250/archive/a", "http://95.129.137.250/archive/a")</f>
        <v>http://95.129.137.250/archive/a</v>
      </c>
      <c r="B69" t="s">
        <v>5</v>
      </c>
      <c r="C69" t="str">
        <f>HYPERLINK("https://www.reddit.com/r/opendirectories/comments/dzu76f", "PC Games, iffy host")</f>
        <v>PC Games, iffy host</v>
      </c>
      <c r="D69" t="s">
        <v>684</v>
      </c>
    </row>
    <row r="70" spans="1:5" x14ac:dyDescent="0.2">
      <c r="A70" t="str">
        <f>HYPERLINK("http://37.156.146.163", "http://37.156.146.163")</f>
        <v>http://37.156.146.163</v>
      </c>
      <c r="B70" t="s">
        <v>5</v>
      </c>
      <c r="C70" t="str">
        <f>HYPERLINK("https://www.reddit.com/r/opendirectories/comments/dwultc", "Mixed IT stuff - software, books, video courses")</f>
        <v>Mixed IT stuff - software, books, video courses</v>
      </c>
      <c r="D70" t="s">
        <v>325</v>
      </c>
    </row>
    <row r="71" spans="1:5" x14ac:dyDescent="0.2">
      <c r="A71" t="str">
        <f>HYPERLINK("http://teknopia.net/new_uploads", "http://teknopia.net/new_uploads")</f>
        <v>http://teknopia.net/new_uploads</v>
      </c>
      <c r="B71" t="s">
        <v>5</v>
      </c>
      <c r="C71" t="str">
        <f>HYPERLINK("https://www.reddit.com/r/opendirectories/comments/bnqm1l", "Daft Punk (several sources)")</f>
        <v>Daft Punk (several sources)</v>
      </c>
      <c r="D71" t="s">
        <v>487</v>
      </c>
    </row>
    <row r="72" spans="1:5" x14ac:dyDescent="0.2">
      <c r="A72" t="str">
        <f>HYPERLINK("http://download.nust.na/pub2", "http://download.nust.na/pub2")</f>
        <v>http://download.nust.na/pub2</v>
      </c>
      <c r="B72" t="s">
        <v>5</v>
      </c>
      <c r="C72" t="str">
        <f>HYPERLINK("https://www.reddit.com/r/opendirectories/comments/aud8yi", "Was looking for a specific open directory, found some interesting ones on the way/")</f>
        <v>Was looking for a specific open directory, found some interesting ones on the way/</v>
      </c>
      <c r="D72" t="s">
        <v>138</v>
      </c>
      <c r="E72" t="s">
        <v>14</v>
      </c>
    </row>
    <row r="73" spans="1:5" x14ac:dyDescent="0.2">
      <c r="A73" t="str">
        <f>HYPERLINK("http://bits.usc.edu/files", "http://bits.usc.edu/files")</f>
        <v>http://bits.usc.edu/files</v>
      </c>
      <c r="B73" t="s">
        <v>5</v>
      </c>
      <c r="C73" t="str">
        <f>HYPERLINK("https://www.reddit.com/r/opendirectories/comments/dmgmdx", "OD for the University of South Carolina CompSci dept")</f>
        <v>OD for the University of South Carolina CompSci dept</v>
      </c>
      <c r="D73" t="s">
        <v>703</v>
      </c>
    </row>
    <row r="74" spans="1:5" x14ac:dyDescent="0.2">
      <c r="A74" t="str">
        <f>HYPERLINK("http://freeware.epsc.wustl.edu", "http://freeware.epsc.wustl.edu")</f>
        <v>http://freeware.epsc.wustl.edu</v>
      </c>
      <c r="B74" t="s">
        <v>5</v>
      </c>
      <c r="C74" t="str">
        <f>HYPERLINK("https://www.reddit.com/r/opendirectories/comments/diklo1", "a hilariously outdated collection of free windows software")</f>
        <v>a hilariously outdated collection of free windows software</v>
      </c>
      <c r="D74" t="s">
        <v>704</v>
      </c>
    </row>
    <row r="75" spans="1:5" x14ac:dyDescent="0.2">
      <c r="A75" t="str">
        <f>HYPERLINK("http://ftp.dlink.ru", "http://ftp.dlink.ru")</f>
        <v>http://ftp.dlink.ru</v>
      </c>
      <c r="B75" t="s">
        <v>5</v>
      </c>
      <c r="C75" t="str">
        <f>HYPERLINK("https://www.reddit.com/r/opendirectories/comments/dggqp4", "Manuals in Russian.")</f>
        <v>Manuals in Russian.</v>
      </c>
      <c r="D75" t="s">
        <v>536</v>
      </c>
      <c r="E75" t="s">
        <v>156</v>
      </c>
    </row>
    <row r="76" spans="1:5" x14ac:dyDescent="0.2">
      <c r="A76" t="str">
        <f>HYPERLINK("http://www.hampa.ch/pub", "http://www.hampa.ch/pub")</f>
        <v>http://www.hampa.ch/pub</v>
      </c>
      <c r="B76" t="s">
        <v>5</v>
      </c>
      <c r="C76" t="str">
        <f>HYPERLINK("https://www.reddit.com/r/opendirectories/comments/dahews", "Small archive of MS DOS applications and games.")</f>
        <v>Small archive of MS DOS applications and games.</v>
      </c>
      <c r="D76" t="s">
        <v>686</v>
      </c>
    </row>
    <row r="77" spans="1:5" x14ac:dyDescent="0.2">
      <c r="A77" t="str">
        <f>HYPERLINK("https://stuff.mit.edu/afs", "https://stuff.mit.edu/afs")</f>
        <v>https://stuff.mit.edu/afs</v>
      </c>
      <c r="B77" t="s">
        <v>5</v>
      </c>
      <c r="C77" t="str">
        <f>HYPERLINK("https://www.reddit.com/r/opendirectories/comments/da5riu", "MIT student portal (mostly software and stuff)")</f>
        <v>MIT student portal (mostly software and stuff)</v>
      </c>
      <c r="D77" t="s">
        <v>705</v>
      </c>
    </row>
    <row r="78" spans="1:5" x14ac:dyDescent="0.2">
      <c r="A78" t="str">
        <f>HYPERLINK("https://www.hk-soft.net", "https://www.hk-soft.net")</f>
        <v>https://www.hk-soft.net</v>
      </c>
      <c r="B78" t="s">
        <v>5</v>
      </c>
      <c r="C78" t="str">
        <f>HYPERLINK("https://www.reddit.com/r/opendirectories/comments/d916gk", "SMEG")</f>
        <v>SMEG</v>
      </c>
      <c r="D78" t="s">
        <v>489</v>
      </c>
    </row>
    <row r="79" spans="1:5" x14ac:dyDescent="0.2">
      <c r="A79" t="str">
        <f>HYPERLINK("http://files.modacity.net/software", "http://files.modacity.net/software")</f>
        <v>http://files.modacity.net/software</v>
      </c>
      <c r="B79" t="s">
        <v>5</v>
      </c>
      <c r="C79" t="str">
        <f>HYPERLINK("https://www.reddit.com/r/opendirectories/comments/csvxf4", "Old versions of 3ds Max [From 3ds Max 5 to 3ds Max 9]")</f>
        <v>Old versions of 3ds Max [From 3ds Max 5 to 3ds Max 9]</v>
      </c>
      <c r="D79" t="s">
        <v>451</v>
      </c>
    </row>
    <row r="80" spans="1:5" x14ac:dyDescent="0.2">
      <c r="A80" t="str">
        <f>HYPERLINK("http://62-210-103-107.rev.poneytelecom.eu/torrent", "http://62-210-103-107.rev.poneytelecom.eu/torrent")</f>
        <v>http://62-210-103-107.rev.poneytelecom.eu/torrent</v>
      </c>
      <c r="B80" t="s">
        <v>5</v>
      </c>
      <c r="C80" t="str">
        <f>HYPERLINK("https://www.reddit.com/r/opendirectories/comments/bx2qjh", "[FR/EN] Movies / TV Shows / Softwares / Music / Misc")</f>
        <v>[FR/EN] Movies / TV Shows / Softwares / Music / Misc</v>
      </c>
      <c r="D80" t="s">
        <v>273</v>
      </c>
      <c r="E80" t="s">
        <v>51</v>
      </c>
    </row>
    <row r="81" spans="1:5" x14ac:dyDescent="0.2">
      <c r="A81" t="str">
        <f>HYPERLINK("https://www.betamaster.us/hdd1", "https://www.betamaster.us/hdd1")</f>
        <v>https://www.betamaster.us/hdd1</v>
      </c>
      <c r="B81" t="s">
        <v>5</v>
      </c>
      <c r="C81" t="str">
        <f>HYPERLINK("https://www.reddit.com/r/opendirectories/comments/bag54r", "Software and movies, German, good DL speed")</f>
        <v>Software and movies, German, good DL speed</v>
      </c>
      <c r="D81" t="s">
        <v>418</v>
      </c>
      <c r="E81" t="s">
        <v>186</v>
      </c>
    </row>
    <row r="82" spans="1:5" x14ac:dyDescent="0.2">
      <c r="A82" t="str">
        <f>HYPERLINK("http://shramba.radiostudent.si/sites/default/files/posnetki", "http://shramba.radiostudent.si/sites/default/files/posnetki")</f>
        <v>http://shramba.radiostudent.si/sites/default/files/posnetki</v>
      </c>
      <c r="B82" t="s">
        <v>5</v>
      </c>
      <c r="D82" t="s">
        <v>494</v>
      </c>
    </row>
    <row r="83" spans="1:5" x14ac:dyDescent="0.2">
      <c r="A83" t="str">
        <f>HYPERLINK("http://duoz.pl/ppa", "http://duoz.pl/ppa")</f>
        <v>http://duoz.pl/ppa</v>
      </c>
      <c r="B83" t="s">
        <v>5</v>
      </c>
      <c r="C83" t="str">
        <f>HYPERLINK("https://www.reddit.com/r/opendirectories/comments/ag6ipu", "Amiga software/games")</f>
        <v>Amiga software/games</v>
      </c>
      <c r="D83" t="s">
        <v>420</v>
      </c>
    </row>
    <row r="84" spans="1:5" x14ac:dyDescent="0.2">
      <c r="A84" t="str">
        <f>HYPERLINK("http://chs63.net/2013", "http://chs63.net/2013")</f>
        <v>http://chs63.net/2013</v>
      </c>
      <c r="B84" t="s">
        <v>5</v>
      </c>
      <c r="C84" t="str">
        <f>HYPERLINK("https://www.reddit.com/r/opendirectories/comments/9tk7gf", "music (mostly) of all sorts ..")</f>
        <v>music (mostly) of all sorts ..</v>
      </c>
      <c r="D84" t="s">
        <v>543</v>
      </c>
    </row>
    <row r="85" spans="1:5" x14ac:dyDescent="0.2">
      <c r="A85" t="str">
        <f>HYPERLINK("http://markswist.com/markpersonal", "http://markswist.com/markpersonal")</f>
        <v>http://markswist.com/markpersonal</v>
      </c>
      <c r="B85" t="s">
        <v>5</v>
      </c>
      <c r="C85" t="str">
        <f>HYPERLINK("https://www.reddit.com/r/opendirectories/comments/9tk7gf", "music (mostly) of all sorts ..")</f>
        <v>music (mostly) of all sorts ..</v>
      </c>
      <c r="D85" t="s">
        <v>543</v>
      </c>
    </row>
    <row r="86" spans="1:5" x14ac:dyDescent="0.2">
      <c r="A86" t="str">
        <f>HYPERLINK("http://wilmingtonnetworks.ddns.net/music", "http://wilmingtonnetworks.ddns.net/music")</f>
        <v>http://wilmingtonnetworks.ddns.net/music</v>
      </c>
      <c r="B86" t="s">
        <v>5</v>
      </c>
      <c r="C86" t="str">
        <f>HYPERLINK("https://www.reddit.com/r/opendirectories/comments/9tk7gf", "music (mostly) of all sorts ..")</f>
        <v>music (mostly) of all sorts ..</v>
      </c>
      <c r="D86" t="s">
        <v>543</v>
      </c>
    </row>
    <row r="87" spans="1:5" x14ac:dyDescent="0.2">
      <c r="A87" t="str">
        <f>HYPERLINK("http://www.gizard.org/goother", "http://www.gizard.org/goother")</f>
        <v>http://www.gizard.org/goother</v>
      </c>
      <c r="B87" t="s">
        <v>5</v>
      </c>
      <c r="C87" t="str">
        <f>HYPERLINK("https://www.reddit.com/r/opendirectories/comments/8knt70", "music and comedy albums (eg monty python, national lampoon)-some stuff zipped+some programs")</f>
        <v>music and comedy albums (eg monty python, national lampoon)-some stuff zipped+some programs</v>
      </c>
      <c r="D87" t="s">
        <v>496</v>
      </c>
    </row>
    <row r="88" spans="1:5" x14ac:dyDescent="0.2">
      <c r="A88" t="str">
        <f>HYPERLINK("http://www.mcrfb.com/files", "http://www.mcrfb.com/files")</f>
        <v>http://www.mcrfb.com/files</v>
      </c>
      <c r="B88" t="s">
        <v>5</v>
      </c>
      <c r="C88" t="str">
        <f>HYPERLINK("https://www.reddit.com/r/opendirectories/comments/9tk7gf", "music (mostly) of all sorts ..")</f>
        <v>music (mostly) of all sorts ..</v>
      </c>
      <c r="D88" t="s">
        <v>543</v>
      </c>
    </row>
    <row r="89" spans="1:5" x14ac:dyDescent="0.2">
      <c r="A89" t="str">
        <f>HYPERLINK("http://iusethis.luo.ma", "http://iusethis.luo.ma")</f>
        <v>http://iusethis.luo.ma</v>
      </c>
      <c r="B89" t="s">
        <v>5</v>
      </c>
      <c r="C89" t="str">
        <f>HYPERLINK("https://www.reddit.com/r/opendirectories/comments/9i61a3", "Tons of software")</f>
        <v>Tons of software</v>
      </c>
      <c r="D89" t="s">
        <v>37</v>
      </c>
    </row>
    <row r="90" spans="1:5" x14ac:dyDescent="0.2">
      <c r="A90" t="str">
        <f>HYPERLINK("http://dosdude1.com", "http://dosdude1.com")</f>
        <v>http://dosdude1.com</v>
      </c>
      <c r="B90" t="s">
        <v>5</v>
      </c>
      <c r="C90" t="str">
        <f>HYPERLINK("https://www.reddit.com/r/opendirectories/comments/9c60qx", "Collection of software")</f>
        <v>Collection of software</v>
      </c>
      <c r="D90" t="s">
        <v>706</v>
      </c>
    </row>
    <row r="91" spans="1:5" x14ac:dyDescent="0.2">
      <c r="A91" t="str">
        <f>HYPERLINK("https://mirror.math.princeton.edu/pub", "https://mirror.math.princeton.edu/pub")</f>
        <v>https://mirror.math.princeton.edu/pub</v>
      </c>
      <c r="B91" t="s">
        <v>5</v>
      </c>
      <c r="C91" t="str">
        <f>HYPERLINK("https://www.reddit.com/r/opendirectories/comments/8dwsba", "Subdirectory was posted recently but this could use a bump: Princeton's Linux/Software/TED mirrors (Pulling at 2Gbit/s+)")</f>
        <v>Subdirectory was posted recently but this could use a bump: Princeton's Linux/Software/TED mirrors (Pulling at 2Gbit/s+)</v>
      </c>
      <c r="D91" t="s">
        <v>707</v>
      </c>
    </row>
    <row r="92" spans="1:5" x14ac:dyDescent="0.2">
      <c r="A92" t="str">
        <f>HYPERLINK("https://10gbps.io", "https://10gbps.io")</f>
        <v>https://10gbps.io</v>
      </c>
      <c r="B92" t="s">
        <v>5</v>
      </c>
      <c r="C92" t="str">
        <f>HYPERLINK("https://www.reddit.com/r/opendirectories/comments/7gs0f2", "Google Index Search Engine @ The-Eye")</f>
        <v>Google Index Search Engine @ The-Eye</v>
      </c>
      <c r="D92" t="s">
        <v>346</v>
      </c>
    </row>
    <row r="93" spans="1:5" x14ac:dyDescent="0.2">
      <c r="A93" t="str">
        <f>HYPERLINK("https://mg20.vc-graz.ac.at/karaoke", "https://mg20.vc-graz.ac.at/karaoke")</f>
        <v>https://mg20.vc-graz.ac.at/karaoke</v>
      </c>
      <c r="B93" t="s">
        <v>5</v>
      </c>
      <c r="C93" t="str">
        <f>HYPERLINK("https://www.reddit.com/r/opendirectories/comments/7iqkd5", "Well organized compilation of karaoke songs(.kar,midi) pd contains karaoke software and compressed file of the songs")</f>
        <v>Well organized compilation of karaoke songs(.kar,midi) pd contains karaoke software and compressed file of the songs</v>
      </c>
      <c r="D93" t="s">
        <v>550</v>
      </c>
    </row>
    <row r="94" spans="1:5" x14ac:dyDescent="0.2">
      <c r="A94" t="str">
        <f>HYPERLINK("http://www.alpha-ii.com/Download/Main.html", "http://www.alpha-ii.com/Download/Main.html")</f>
        <v>http://www.alpha-ii.com/Download/Main.html</v>
      </c>
      <c r="B94" t="s">
        <v>5</v>
      </c>
      <c r="C94" t="str">
        <f>HYPERLINK("https://www.reddit.com/r/opendirectories/comments/74iych", "The Chiptune/Game Music Open Directory Archive List")</f>
        <v>The Chiptune/Game Music Open Directory Archive List</v>
      </c>
      <c r="D94" t="s">
        <v>351</v>
      </c>
    </row>
    <row r="95" spans="1:5" x14ac:dyDescent="0.2">
      <c r="A95" t="str">
        <f>HYPERLINK("https://www.hcs64.com/usf", "https://www.hcs64.com/usf")</f>
        <v>https://www.hcs64.com/usf</v>
      </c>
      <c r="B95" t="s">
        <v>5</v>
      </c>
      <c r="C95" t="str">
        <f>HYPERLINK("https://www.reddit.com/r/opendirectories/comments/74iych", "The Chiptune/Game Music Open Directory Archive List")</f>
        <v>The Chiptune/Game Music Open Directory Archive List</v>
      </c>
      <c r="D95" t="s">
        <v>351</v>
      </c>
    </row>
    <row r="96" spans="1:5" x14ac:dyDescent="0.2">
      <c r="A96" t="str">
        <f>HYPERLINK("http://media.xenialbb.net/Store", "http://media.xenialbb.net/Store")</f>
        <v>http://media.xenialbb.net/Store</v>
      </c>
      <c r="B96" t="s">
        <v>5</v>
      </c>
      <c r="C96" t="str">
        <f>HYPERLINK("https://www.reddit.com/r/opendirectories/comments/5hlnjc", "Movies, Software, and more!")</f>
        <v>Movies, Software, and more!</v>
      </c>
      <c r="D96" t="s">
        <v>425</v>
      </c>
    </row>
    <row r="97" spans="1:5" x14ac:dyDescent="0.2">
      <c r="A97" t="str">
        <f>HYPERLINK("http://ftp.ntu.edu.tw", "http://ftp.ntu.edu.tw")</f>
        <v>http://ftp.ntu.edu.tw</v>
      </c>
      <c r="B97" t="s">
        <v>5</v>
      </c>
      <c r="C97" t="str">
        <f>HYPERLINK("https://www.reddit.com/r/opendirectories/comments/6ch362", "open FTP server with a bunch of linked directories with programs and stuff in them enjoy!")</f>
        <v>open FTP server with a bunch of linked directories with programs and stuff in them enjoy!</v>
      </c>
      <c r="D97" t="s">
        <v>708</v>
      </c>
    </row>
    <row r="98" spans="1:5" x14ac:dyDescent="0.2">
      <c r="A98" t="str">
        <f>HYPERLINK("http://118.174.134.187/download", "http://118.174.134.187/download")</f>
        <v>http://118.174.134.187/download</v>
      </c>
      <c r="B98" t="s">
        <v>5</v>
      </c>
      <c r="C98" t="str">
        <f>HYPERLINK("https://www.reddit.com/r/opendirectories/comments/62jgi8", "More Softwares, Adobe Collection and others")</f>
        <v>More Softwares, Adobe Collection and others</v>
      </c>
      <c r="D98" t="s">
        <v>578</v>
      </c>
    </row>
    <row r="99" spans="1:5" x14ac:dyDescent="0.2">
      <c r="A99" t="str">
        <f>HYPERLINK("http://ww2.chemistry.gatech.edu/software", "http://ww2.chemistry.gatech.edu/software")</f>
        <v>http://ww2.chemistry.gatech.edu/software</v>
      </c>
      <c r="B99" t="s">
        <v>5</v>
      </c>
      <c r="C99" t="str">
        <f>HYPERLINK("https://www.reddit.com/r/opendirectories/comments/591y0n", "/Software")</f>
        <v>/Software</v>
      </c>
      <c r="D99" t="s">
        <v>709</v>
      </c>
    </row>
    <row r="100" spans="1:5" x14ac:dyDescent="0.2">
      <c r="A100" t="str">
        <f>HYPERLINK("http://mirrors.apple2.org.za", "http://mirrors.apple2.org.za")</f>
        <v>http://mirrors.apple2.org.za</v>
      </c>
      <c r="B100" t="s">
        <v>5</v>
      </c>
      <c r="C100" t="str">
        <f>HYPERLINK("https://www.reddit.com/r/opendirectories/comments/4updvm", "Apple Emulator &amp;amp; Programs")</f>
        <v>Apple Emulator &amp;amp; Programs</v>
      </c>
      <c r="D100" t="s">
        <v>710</v>
      </c>
    </row>
    <row r="101" spans="1:5" x14ac:dyDescent="0.2">
      <c r="A101" t="str">
        <f>HYPERLINK("http://nsrdl.com/apps", "http://nsrdl.com/apps")</f>
        <v>http://nsrdl.com/apps</v>
      </c>
      <c r="B101" t="s">
        <v>5</v>
      </c>
      <c r="C101" t="str">
        <f>HYPERLINK("https://www.reddit.com/r/opendirectories/comments/48y4bx", "Software -- circa 2008-2013")</f>
        <v>Software -- circa 2008-2013</v>
      </c>
      <c r="D101" t="s">
        <v>711</v>
      </c>
    </row>
    <row r="102" spans="1:5" x14ac:dyDescent="0.2">
      <c r="A102" t="str">
        <f>HYPERLINK("http://ranger.befunk.com", "http://ranger.befunk.com")</f>
        <v>http://ranger.befunk.com</v>
      </c>
      <c r="B102" t="s">
        <v>5</v>
      </c>
      <c r="C102" t="str">
        <f>HYPERLINK("https://www.reddit.com/r/opendirectories/comments/3lm4gy", "/u/wearehidden's directory dump (with more organization / info)")</f>
        <v>/u/wearehidden's directory dump (with more organization / info)</v>
      </c>
      <c r="D102" t="s">
        <v>358</v>
      </c>
      <c r="E102" t="s">
        <v>359</v>
      </c>
    </row>
    <row r="103" spans="1:5" x14ac:dyDescent="0.2">
      <c r="A103" t="str">
        <f>HYPERLINK("https://git-annex.branchable.com/how_it_works", "https://git-annex.branchable.com/how_it_works")</f>
        <v>https://git-annex.branchable.com/how_it_works</v>
      </c>
      <c r="B103" t="s">
        <v>5</v>
      </c>
      <c r="C103" t="str">
        <f>HYPERLINK("https://www.reddit.com/r/opendirectories/comments/33rxdy", "Where I keep my downloads(A brief overview of where I store my content and how I try to keep it safe)")</f>
        <v>Where I keep my downloads(A brief overview of where I store my content and how I try to keep it safe)</v>
      </c>
      <c r="D103" t="s">
        <v>670</v>
      </c>
    </row>
    <row r="104" spans="1:5" x14ac:dyDescent="0.2">
      <c r="A104" t="str">
        <f>HYPERLINK("https://git-annex.branchable.com/special_remotes", "https://git-annex.branchable.com/special_remotes")</f>
        <v>https://git-annex.branchable.com/special_remotes</v>
      </c>
      <c r="B104" t="s">
        <v>5</v>
      </c>
      <c r="C104" t="str">
        <f>HYPERLINK("https://www.reddit.com/r/opendirectories/comments/33rxdy", "Where I keep my downloads(A brief overview of where I store my content and how I try to keep it safe)")</f>
        <v>Where I keep my downloads(A brief overview of where I store my content and how I try to keep it safe)</v>
      </c>
      <c r="D104" t="s">
        <v>670</v>
      </c>
    </row>
    <row r="105" spans="1:5" x14ac:dyDescent="0.2">
      <c r="A105" t="str">
        <f>HYPERLINK("http://mirror.facebook.net", "http://mirror.facebook.net")</f>
        <v>http://mirror.facebook.net</v>
      </c>
      <c r="B105" t="s">
        <v>5</v>
      </c>
      <c r="C105" t="str">
        <f>HYPERLINK("https://www.reddit.com/r/opendirectories/comments/cp46t", "Facebook's mirror for free software [no nyud, i think they can handle it]")</f>
        <v>Facebook's mirror for free software [no nyud, i think they can handle it]</v>
      </c>
      <c r="D105" t="s">
        <v>712</v>
      </c>
    </row>
  </sheetData>
  <pageMargins left="0.75" right="0.75" top="1" bottom="1" header="0.511811023622047" footer="0.511811023622047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21"/>
  <sheetViews>
    <sheetView zoomScaleNormal="100" workbookViewId="0"/>
  </sheetViews>
  <sheetFormatPr baseColWidth="10" defaultColWidth="8.83203125" defaultRowHeight="15" x14ac:dyDescent="0.2"/>
  <cols>
    <col min="1" max="1" width="50" customWidth="1"/>
    <col min="3" max="3" width="80" customWidth="1"/>
    <col min="4" max="4" width="11" customWidth="1"/>
    <col min="5" max="5" width="80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tr">
        <f>HYPERLINK("https://pmagazine.co/wp-content/uploads", "https://pmagazine.co/wp-content/uploads")</f>
        <v>https://pmagazine.co/wp-content/uploads</v>
      </c>
      <c r="B2" t="s">
        <v>5</v>
      </c>
      <c r="C2" t="str">
        <f>HYPERLINK("https://www.reddit.com/r/opendirectories/comments/ppw12v", "Erotic Art Photos (NSFW)")</f>
        <v>Erotic Art Photos (NSFW)</v>
      </c>
      <c r="D2" t="s">
        <v>361</v>
      </c>
    </row>
    <row r="3" spans="1:5" x14ac:dyDescent="0.2">
      <c r="A3" t="str">
        <f>HYPERLINK("https://wizsdailydose.com/wp-content/uploads", "https://wizsdailydose.com/wp-content/uploads")</f>
        <v>https://wizsdailydose.com/wp-content/uploads</v>
      </c>
      <c r="B3" t="s">
        <v>5</v>
      </c>
      <c r="D3" t="s">
        <v>361</v>
      </c>
    </row>
    <row r="4" spans="1:5" x14ac:dyDescent="0.2">
      <c r="A4" t="str">
        <f>HYPERLINK("http://www.quintessa.net.au/Litters", "http://www.quintessa.net.au/Litters")</f>
        <v>http://www.quintessa.net.au/Litters</v>
      </c>
      <c r="B4" t="s">
        <v>5</v>
      </c>
      <c r="C4" t="str">
        <f>HYPERLINK("https://www.reddit.com/r/opendirectories/comments/pp9ohh", "pictures of puppies")</f>
        <v>pictures of puppies</v>
      </c>
      <c r="D4" t="s">
        <v>7</v>
      </c>
    </row>
    <row r="5" spans="1:5" x14ac:dyDescent="0.2">
      <c r="A5" t="str">
        <f>HYPERLINK("https://www.espros.com", "https://www.espros.com")</f>
        <v>https://www.espros.com</v>
      </c>
      <c r="B5" t="s">
        <v>5</v>
      </c>
      <c r="C5" t="str">
        <f t="shared" ref="C5:C12" si="0">HYPERLINK("https://www.reddit.com/r/opendirectories/comments/pmqh90", "2021-09-12 Daily post")</f>
        <v>2021-09-12 Daily post</v>
      </c>
      <c r="D5" t="s">
        <v>459</v>
      </c>
    </row>
    <row r="6" spans="1:5" x14ac:dyDescent="0.2">
      <c r="A6" t="str">
        <f>HYPERLINK("https://www.konrow.com/download", "https://www.konrow.com/download")</f>
        <v>https://www.konrow.com/download</v>
      </c>
      <c r="B6" t="s">
        <v>5</v>
      </c>
      <c r="C6" t="str">
        <f t="shared" si="0"/>
        <v>2021-09-12 Daily post</v>
      </c>
      <c r="D6" t="s">
        <v>459</v>
      </c>
    </row>
    <row r="7" spans="1:5" x14ac:dyDescent="0.2">
      <c r="A7" t="str">
        <f>HYPERLINK("https://www.dukelearntoprogram.com/downloads", "https://www.dukelearntoprogram.com/downloads")</f>
        <v>https://www.dukelearntoprogram.com/downloads</v>
      </c>
      <c r="B7" t="s">
        <v>5</v>
      </c>
      <c r="C7" t="str">
        <f t="shared" si="0"/>
        <v>2021-09-12 Daily post</v>
      </c>
      <c r="D7" t="s">
        <v>459</v>
      </c>
    </row>
    <row r="8" spans="1:5" x14ac:dyDescent="0.2">
      <c r="A8" t="str">
        <f>HYPERLINK("https://apc.u-paris.fr/Downloads", "https://apc.u-paris.fr/Downloads")</f>
        <v>https://apc.u-paris.fr/Downloads</v>
      </c>
      <c r="B8" t="s">
        <v>5</v>
      </c>
      <c r="C8" t="str">
        <f t="shared" si="0"/>
        <v>2021-09-12 Daily post</v>
      </c>
      <c r="D8" t="s">
        <v>459</v>
      </c>
    </row>
    <row r="9" spans="1:5" x14ac:dyDescent="0.2">
      <c r="A9" t="str">
        <f>HYPERLINK("https://www.3dhistech.com/downloads", "https://www.3dhistech.com/downloads")</f>
        <v>https://www.3dhistech.com/downloads</v>
      </c>
      <c r="B9" t="s">
        <v>5</v>
      </c>
      <c r="C9" t="str">
        <f t="shared" si="0"/>
        <v>2021-09-12 Daily post</v>
      </c>
      <c r="D9" t="s">
        <v>459</v>
      </c>
    </row>
    <row r="10" spans="1:5" x14ac:dyDescent="0.2">
      <c r="A10" t="str">
        <f>HYPERLINK("http://www.tfcumc.org/music", "http://www.tfcumc.org/music")</f>
        <v>http://www.tfcumc.org/music</v>
      </c>
      <c r="B10" t="s">
        <v>5</v>
      </c>
      <c r="C10" t="str">
        <f t="shared" si="0"/>
        <v>2021-09-12 Daily post</v>
      </c>
      <c r="D10" t="s">
        <v>459</v>
      </c>
    </row>
    <row r="11" spans="1:5" x14ac:dyDescent="0.2">
      <c r="A11" t="str">
        <f>HYPERLINK("https://dalemuus.home.xs4all.nl", "https://dalemuus.home.xs4all.nl")</f>
        <v>https://dalemuus.home.xs4all.nl</v>
      </c>
      <c r="B11" t="s">
        <v>5</v>
      </c>
      <c r="C11" t="str">
        <f t="shared" si="0"/>
        <v>2021-09-12 Daily post</v>
      </c>
      <c r="D11" t="s">
        <v>459</v>
      </c>
    </row>
    <row r="12" spans="1:5" x14ac:dyDescent="0.2">
      <c r="A12" t="str">
        <f>HYPERLINK("http://www.andrelouis.com/media", "http://www.andrelouis.com/media")</f>
        <v>http://www.andrelouis.com/media</v>
      </c>
      <c r="B12" t="s">
        <v>5</v>
      </c>
      <c r="C12" t="str">
        <f t="shared" si="0"/>
        <v>2021-09-12 Daily post</v>
      </c>
      <c r="D12" t="s">
        <v>459</v>
      </c>
    </row>
    <row r="13" spans="1:5" x14ac:dyDescent="0.2">
      <c r="A13" t="str">
        <f>HYPERLINK("http://www.resistrecords.com/catalog", "http://www.resistrecords.com/catalog")</f>
        <v>http://www.resistrecords.com/catalog</v>
      </c>
      <c r="B13" t="s">
        <v>5</v>
      </c>
      <c r="C13" t="str">
        <f>HYPERLINK("https://www.reddit.com/r/opendirectories/comments/pmalwj", "Whole bunch of rare music album images")</f>
        <v>Whole bunch of rare music album images</v>
      </c>
      <c r="D13" t="s">
        <v>515</v>
      </c>
    </row>
    <row r="14" spans="1:5" x14ac:dyDescent="0.2">
      <c r="A14" t="str">
        <f>HYPERLINK("http://wateryaml.cn", "http://wateryaml.cn")</f>
        <v>http://wateryaml.cn</v>
      </c>
      <c r="B14" t="s">
        <v>5</v>
      </c>
      <c r="C14" t="str">
        <f t="shared" ref="C14:C20" si="1">HYPERLINK("https://www.reddit.com/r/opendirectories/comments/plkcmr", "2021-09-10 Daily post")</f>
        <v>2021-09-10 Daily post</v>
      </c>
      <c r="D14" t="s">
        <v>261</v>
      </c>
      <c r="E14" t="s">
        <v>61</v>
      </c>
    </row>
    <row r="15" spans="1:5" x14ac:dyDescent="0.2">
      <c r="A15" t="str">
        <f>HYPERLINK("https://rohandrape.net/rd", "https://rohandrape.net/rd")</f>
        <v>https://rohandrape.net/rd</v>
      </c>
      <c r="B15" t="s">
        <v>5</v>
      </c>
      <c r="C15" t="str">
        <f t="shared" si="1"/>
        <v>2021-09-10 Daily post</v>
      </c>
      <c r="D15" t="s">
        <v>261</v>
      </c>
      <c r="E15" t="s">
        <v>61</v>
      </c>
    </row>
    <row r="16" spans="1:5" x14ac:dyDescent="0.2">
      <c r="A16" t="str">
        <f>HYPERLINK("https://www.cs.cmu.edu/~lblum/flac/Handouts_pdf", "https://www.cs.cmu.edu/~lblum/flac/Handouts_pdf")</f>
        <v>https://www.cs.cmu.edu/~lblum/flac/Handouts_pdf</v>
      </c>
      <c r="B16" t="s">
        <v>5</v>
      </c>
      <c r="C16" t="str">
        <f t="shared" si="1"/>
        <v>2021-09-10 Daily post</v>
      </c>
      <c r="D16" t="s">
        <v>261</v>
      </c>
      <c r="E16" t="s">
        <v>61</v>
      </c>
    </row>
    <row r="17" spans="1:5" x14ac:dyDescent="0.2">
      <c r="A17" t="str">
        <f>HYPERLINK("http://www.lindberg.no/hires", "http://www.lindberg.no/hires")</f>
        <v>http://www.lindberg.no/hires</v>
      </c>
      <c r="B17" t="s">
        <v>5</v>
      </c>
      <c r="C17" t="str">
        <f t="shared" si="1"/>
        <v>2021-09-10 Daily post</v>
      </c>
      <c r="D17" t="s">
        <v>261</v>
      </c>
      <c r="E17" t="s">
        <v>61</v>
      </c>
    </row>
    <row r="18" spans="1:5" x14ac:dyDescent="0.2">
      <c r="A18" t="str">
        <f>HYPERLINK("https://samples.ffmpeg.org", "https://samples.ffmpeg.org")</f>
        <v>https://samples.ffmpeg.org</v>
      </c>
      <c r="B18" t="s">
        <v>5</v>
      </c>
      <c r="C18" t="str">
        <f t="shared" si="1"/>
        <v>2021-09-10 Daily post</v>
      </c>
      <c r="D18" t="s">
        <v>261</v>
      </c>
      <c r="E18" t="s">
        <v>61</v>
      </c>
    </row>
    <row r="19" spans="1:5" x14ac:dyDescent="0.2">
      <c r="A19" t="str">
        <f>HYPERLINK("https://files.valhallagameplays.info", "https://files.valhallagameplays.info")</f>
        <v>https://files.valhallagameplays.info</v>
      </c>
      <c r="B19" t="s">
        <v>5</v>
      </c>
      <c r="C19" t="str">
        <f t="shared" si="1"/>
        <v>2021-09-10 Daily post</v>
      </c>
      <c r="D19" t="s">
        <v>261</v>
      </c>
      <c r="E19" t="s">
        <v>61</v>
      </c>
    </row>
    <row r="20" spans="1:5" x14ac:dyDescent="0.2">
      <c r="A20" t="str">
        <f>HYPERLINK("https://www.nlnetlabs.nl/downloads", "https://www.nlnetlabs.nl/downloads")</f>
        <v>https://www.nlnetlabs.nl/downloads</v>
      </c>
      <c r="B20" t="s">
        <v>5</v>
      </c>
      <c r="C20" t="str">
        <f t="shared" si="1"/>
        <v>2021-09-10 Daily post</v>
      </c>
      <c r="D20" t="s">
        <v>261</v>
      </c>
      <c r="E20" t="s">
        <v>61</v>
      </c>
    </row>
    <row r="21" spans="1:5" x14ac:dyDescent="0.2">
      <c r="A21" t="str">
        <f>HYPERLINK("http://img.mogg.fr", "http://img.mogg.fr")</f>
        <v>http://img.mogg.fr</v>
      </c>
      <c r="B21" t="s">
        <v>5</v>
      </c>
      <c r="C21" t="str">
        <f>HYPERLINK("https://www.reddit.com/r/opendirectories/comments/pkasm9", "Magic the Gathering card scans")</f>
        <v>Magic the Gathering card scans</v>
      </c>
      <c r="D21" t="s">
        <v>11</v>
      </c>
    </row>
    <row r="22" spans="1:5" x14ac:dyDescent="0.2">
      <c r="A22" t="str">
        <f>HYPERLINK("http://yiffing.in/images", "http://yiffing.in/images")</f>
        <v>http://yiffing.in/images</v>
      </c>
      <c r="B22" t="s">
        <v>5</v>
      </c>
      <c r="C22" t="str">
        <f>HYPERLINK("https://www.reddit.com/r/opendirectories/comments/52mnou", "Pretty Big (wink) open directory for my furry friends! NSFW")</f>
        <v>Pretty Big (wink) open directory for my furry friends! NSFW</v>
      </c>
      <c r="D22" t="s">
        <v>713</v>
      </c>
    </row>
    <row r="23" spans="1:5" x14ac:dyDescent="0.2">
      <c r="A23" t="str">
        <f>HYPERLINK("http://nwifiresticks.com", "http://nwifiresticks.com")</f>
        <v>http://nwifiresticks.com</v>
      </c>
      <c r="B23" t="s">
        <v>5</v>
      </c>
      <c r="C23" t="str">
        <f>HYPERLINK("https://www.reddit.com/r/opendirectories/comments/mhdtw2", "Mixed Directories")</f>
        <v>Mixed Directories</v>
      </c>
      <c r="D23" t="s">
        <v>41</v>
      </c>
    </row>
    <row r="24" spans="1:5" x14ac:dyDescent="0.2">
      <c r="A24" t="str">
        <f>HYPERLINK("http://dimwitdog.com/wp-content/uploads", "http://dimwitdog.com/wp-content/uploads")</f>
        <v>http://dimwitdog.com/wp-content/uploads</v>
      </c>
      <c r="B24" t="s">
        <v>5</v>
      </c>
      <c r="C24" t="str">
        <f>HYPERLINK("https://www.reddit.com/r/opendirectories/comments/pind27", "Furry Artist Page [nsfw]")</f>
        <v>Furry Artist Page [nsfw]</v>
      </c>
      <c r="D24" t="s">
        <v>714</v>
      </c>
    </row>
    <row r="25" spans="1:5" x14ac:dyDescent="0.2">
      <c r="A25" t="str">
        <f>HYPERLINK("https://www.goldrushgallery.com", "https://www.goldrushgallery.com")</f>
        <v>https://www.goldrushgallery.com</v>
      </c>
      <c r="B25" t="s">
        <v>5</v>
      </c>
      <c r="C25" t="str">
        <f>HYPERLINK("https://www.reddit.com/r/opendirectories/comments/pihhwh", "coins")</f>
        <v>coins</v>
      </c>
      <c r="D25" t="s">
        <v>715</v>
      </c>
    </row>
    <row r="26" spans="1:5" x14ac:dyDescent="0.2">
      <c r="A26" t="str">
        <f>HYPERLINK("http://anobisdownload.persiangig.com", "http://anobisdownload.persiangig.com")</f>
        <v>http://anobisdownload.persiangig.com</v>
      </c>
      <c r="B26" t="s">
        <v>5</v>
      </c>
      <c r="C26" t="str">
        <f>HYPERLINK("https://www.reddit.com/r/opendirectories/comments/p5yxvc", "software images")</f>
        <v>software images</v>
      </c>
      <c r="D26" t="s">
        <v>697</v>
      </c>
    </row>
    <row r="27" spans="1:5" x14ac:dyDescent="0.2">
      <c r="A27" t="str">
        <f>HYPERLINK("https://hot-porn.org/wp-content/gallery", "https://hot-porn.org/wp-content/gallery")</f>
        <v>https://hot-porn.org/wp-content/gallery</v>
      </c>
      <c r="B27" t="s">
        <v>5</v>
      </c>
      <c r="C27" t="str">
        <f>HYPERLINK("https://www.reddit.com/r/opendirectories/comments/p5e2yr", "Pron stills (nsfw)")</f>
        <v>Pron stills (nsfw)</v>
      </c>
      <c r="D27" t="s">
        <v>517</v>
      </c>
    </row>
    <row r="28" spans="1:5" x14ac:dyDescent="0.2">
      <c r="A28" t="str">
        <f>HYPERLINK("https://birdsofseabrook.app.clemson.edu/images/Pelecaniformes", "https://birdsofseabrook.app.clemson.edu/images/Pelecaniformes")</f>
        <v>https://birdsofseabrook.app.clemson.edu/images/Pelecaniformes</v>
      </c>
      <c r="B28" t="s">
        <v>5</v>
      </c>
      <c r="C28" t="str">
        <f>HYPERLINK("https://www.reddit.com/r/opendirectories/comments/p26hpj", "boobies")</f>
        <v>boobies</v>
      </c>
      <c r="D28" t="s">
        <v>16</v>
      </c>
    </row>
    <row r="29" spans="1:5" x14ac:dyDescent="0.2">
      <c r="A29" t="str">
        <f>HYPERLINK("https://organopoieio-dellios.gr/images", "https://organopoieio-dellios.gr/images")</f>
        <v>https://organopoieio-dellios.gr/images</v>
      </c>
      <c r="B29" t="s">
        <v>5</v>
      </c>
      <c r="C29" t="str">
        <f>HYPERLINK("https://www.reddit.com/r/opendirectories/comments/p25yow", "bouzouki pictures")</f>
        <v>bouzouki pictures</v>
      </c>
      <c r="D29" t="s">
        <v>16</v>
      </c>
    </row>
    <row r="30" spans="1:5" x14ac:dyDescent="0.2">
      <c r="A30" t="str">
        <f>HYPERLINK("http://www.tarrendayle.com/public_html", "http://www.tarrendayle.com/public_html")</f>
        <v>http://www.tarrendayle.com/public_html</v>
      </c>
      <c r="B30" t="s">
        <v>5</v>
      </c>
      <c r="C30" t="str">
        <f>HYPERLINK("https://www.reddit.com/r/opendirectories/comments/p1reeh", "Pictures of a dog show event, its contestants, and their pedigrees.")</f>
        <v>Pictures of a dog show event, its contestants, and their pedigrees.</v>
      </c>
      <c r="D30" t="s">
        <v>716</v>
      </c>
    </row>
    <row r="31" spans="1:5" x14ac:dyDescent="0.2">
      <c r="A31" t="str">
        <f>HYPERLINK("https://lafinjack.net/images", "https://lafinjack.net/images")</f>
        <v>https://lafinjack.net/images</v>
      </c>
      <c r="B31" t="s">
        <v>5</v>
      </c>
      <c r="C31" t="str">
        <f>HYPERLINK("https://www.reddit.com/r/opendirectories/comments/p0aky4", "gif's, memes and funny images")</f>
        <v>gif's, memes and funny images</v>
      </c>
      <c r="D31" t="s">
        <v>717</v>
      </c>
    </row>
    <row r="32" spans="1:5" x14ac:dyDescent="0.2">
      <c r="A32" t="str">
        <f>HYPERLINK("http://www.topsfieldbassets.com/Topsfield%20Basset%20Hounds", "http://www.topsfieldbassets.com/Topsfield%20Basset%20Hounds")</f>
        <v>http://www.topsfieldbassets.com/Topsfield%20Basset%20Hounds</v>
      </c>
      <c r="B32" t="s">
        <v>5</v>
      </c>
      <c r="C32" t="str">
        <f>HYPERLINK("https://www.reddit.com/r/opendirectories/comments/oyzr61", "pictures of people dressed as sheep, walking basset hounds that are also dressed as sheep.")</f>
        <v>pictures of people dressed as sheep, walking basset hounds that are also dressed as sheep.</v>
      </c>
      <c r="D32" t="s">
        <v>718</v>
      </c>
    </row>
    <row r="33" spans="1:4" x14ac:dyDescent="0.2">
      <c r="A33" t="str">
        <f>HYPERLINK("http://dl.bia2game.com", "http://dl.bia2game.com")</f>
        <v>http://dl.bia2game.com</v>
      </c>
      <c r="B33" t="s">
        <v>5</v>
      </c>
      <c r="C33" t="str">
        <f>HYPERLINK("https://www.reddit.com/r/opendirectories/comments/oumbxd", "Windows Games, Apps, Guides, and Wallpapers")</f>
        <v>Windows Games, Apps, Guides, and Wallpapers</v>
      </c>
      <c r="D33" t="s">
        <v>19</v>
      </c>
    </row>
    <row r="34" spans="1:4" x14ac:dyDescent="0.2">
      <c r="A34" t="str">
        <f>HYPERLINK("http://www.watt-up.com/j_gallery", "http://www.watt-up.com/j_gallery")</f>
        <v>http://www.watt-up.com/j_gallery</v>
      </c>
      <c r="B34" t="s">
        <v>5</v>
      </c>
      <c r="C34" t="str">
        <f>HYPERLINK("https://www.reddit.com/r/opendirectories/comments/otew2c", "[NSFW] Disturbingly large amount of NSFW Celeb images/movies")</f>
        <v>[NSFW] Disturbingly large amount of NSFW Celeb images/movies</v>
      </c>
      <c r="D34" t="s">
        <v>21</v>
      </c>
    </row>
    <row r="35" spans="1:4" x14ac:dyDescent="0.2">
      <c r="A35" t="str">
        <f>HYPERLINK("https://www.retrowaste.com/wp-content/gallery", "https://www.retrowaste.com/wp-content/gallery")</f>
        <v>https://www.retrowaste.com/wp-content/gallery</v>
      </c>
      <c r="B35" t="s">
        <v>5</v>
      </c>
      <c r="C35" t="str">
        <f>HYPERLINK("https://www.reddit.com/r/opendirectories/comments/oi4pdl", "A time capsule from 1930")</f>
        <v>A time capsule from 1930</v>
      </c>
      <c r="D35" t="s">
        <v>370</v>
      </c>
    </row>
    <row r="36" spans="1:4" x14ac:dyDescent="0.2">
      <c r="A36" t="str">
        <f>HYPERLINK("http://www.classic-bow.com/catalog", "http://www.classic-bow.com/catalog")</f>
        <v>http://www.classic-bow.com/catalog</v>
      </c>
      <c r="B36" t="s">
        <v>5</v>
      </c>
      <c r="C36" t="str">
        <f>HYPERLINK("https://www.reddit.com/r/opendirectories/comments/o4vos3", "Pictures of archery stuff")</f>
        <v>Pictures of archery stuff</v>
      </c>
      <c r="D36" t="s">
        <v>719</v>
      </c>
    </row>
    <row r="37" spans="1:4" x14ac:dyDescent="0.2">
      <c r="A37" t="str">
        <f>HYPERLINK("http://pics.newenglandpowersports.com", "http://pics.newenglandpowersports.com")</f>
        <v>http://pics.newenglandpowersports.com</v>
      </c>
      <c r="B37" t="s">
        <v>5</v>
      </c>
      <c r="C37" t="str">
        <f>HYPERLINK("https://www.reddit.com/r/opendirectories/comments/o388a6", "Pictures of motorcycles")</f>
        <v>Pictures of motorcycles</v>
      </c>
      <c r="D37" t="s">
        <v>25</v>
      </c>
    </row>
    <row r="38" spans="1:4" x14ac:dyDescent="0.2">
      <c r="A38" t="str">
        <f>HYPERLINK("http://58.215.182.251:8070/download", "http://58.215.182.251:8070/download")</f>
        <v>http://58.215.182.251:8070/download</v>
      </c>
      <c r="B38" t="s">
        <v>5</v>
      </c>
      <c r="C38" t="str">
        <f>HYPERLINK("https://www.reddit.com/r/opendirectories/comments/ns30cs", "Suto Logistics ftp full of tracking picture")</f>
        <v>Suto Logistics ftp full of tracking picture</v>
      </c>
      <c r="D38" t="s">
        <v>270</v>
      </c>
    </row>
    <row r="39" spans="1:4" x14ac:dyDescent="0.2">
      <c r="A39" t="str">
        <f>HYPERLINK("https://godivatgirls.com/wp-content/uploads", "https://godivatgirls.com/wp-content/uploads")</f>
        <v>https://godivatgirls.com/wp-content/uploads</v>
      </c>
      <c r="B39" t="s">
        <v>5</v>
      </c>
      <c r="C39" t="str">
        <f>HYPERLINK("https://www.reddit.com/r/opendirectories/comments/nqvaca", "Just sexy images")</f>
        <v>Just sexy images</v>
      </c>
      <c r="D39" t="s">
        <v>28</v>
      </c>
    </row>
    <row r="40" spans="1:4" x14ac:dyDescent="0.2">
      <c r="A40" t="str">
        <f>HYPERLINK("https://www.textweapon.com/wp-content/uploads", "https://www.textweapon.com/wp-content/uploads")</f>
        <v>https://www.textweapon.com/wp-content/uploads</v>
      </c>
      <c r="B40" t="s">
        <v>5</v>
      </c>
      <c r="C40" t="str">
        <f>HYPERLINK("https://www.reddit.com/r/opendirectories/comments/nqtfk3", "Well I dunno'")</f>
        <v>Well I dunno'</v>
      </c>
      <c r="D40" t="s">
        <v>28</v>
      </c>
    </row>
    <row r="41" spans="1:4" x14ac:dyDescent="0.2">
      <c r="A41" t="str">
        <f>HYPERLINK("http://dl1.doostihaa.com/files/Wallpaper", "http://dl1.doostihaa.com/files/Wallpaper")</f>
        <v>http://dl1.doostihaa.com/files/Wallpaper</v>
      </c>
      <c r="B41" t="s">
        <v>5</v>
      </c>
      <c r="C41" t="str">
        <f>HYPERLINK("https://www.reddit.com/r/opendirectories/comments/nqj4ya", "Wallpapers...")</f>
        <v>Wallpapers...</v>
      </c>
      <c r="D41" t="s">
        <v>28</v>
      </c>
    </row>
    <row r="42" spans="1:4" x14ac:dyDescent="0.2">
      <c r="A42" t="str">
        <f>HYPERLINK("http://www.birdlifemelbourne.org.au/bird-lists", "http://www.birdlifemelbourne.org.au/bird-lists")</f>
        <v>http://www.birdlifemelbourne.org.au/bird-lists</v>
      </c>
      <c r="B42" t="s">
        <v>5</v>
      </c>
      <c r="C42" t="str">
        <f>HYPERLINK("https://www.reddit.com/r/opendirectories/comments/npritp", "pictures of birds.")</f>
        <v>pictures of birds.</v>
      </c>
      <c r="D42" t="s">
        <v>720</v>
      </c>
    </row>
    <row r="43" spans="1:4" x14ac:dyDescent="0.2">
      <c r="A43" t="str">
        <f>HYPERLINK("http://mail.wampler.wonderfulhosting.com", "http://mail.wampler.wonderfulhosting.com")</f>
        <v>http://mail.wampler.wonderfulhosting.com</v>
      </c>
      <c r="B43" t="s">
        <v>5</v>
      </c>
      <c r="C43" t="str">
        <f>HYPERLINK("https://www.reddit.com/r/opendirectories/comments/njggmj", "A collection of baroque posters, cards, ... of the first half of the last century")</f>
        <v>A collection of baroque posters, cards, ... of the first half of the last century</v>
      </c>
      <c r="D43" t="s">
        <v>461</v>
      </c>
    </row>
    <row r="44" spans="1:4" x14ac:dyDescent="0.2">
      <c r="A44" t="str">
        <f>HYPERLINK("http://www.stridvall.se/lichens", "http://www.stridvall.se/lichens")</f>
        <v>http://www.stridvall.se/lichens</v>
      </c>
      <c r="B44" t="s">
        <v>5</v>
      </c>
      <c r="C44" t="str">
        <f>HYPERLINK("https://www.reddit.com/r/opendirectories/comments/ng15nz", "pictures of lichen")</f>
        <v>pictures of lichen</v>
      </c>
      <c r="D44" t="s">
        <v>721</v>
      </c>
    </row>
    <row r="45" spans="1:4" x14ac:dyDescent="0.2">
      <c r="A45" t="str">
        <f>HYPERLINK("http://www.uvm.edu/~uvmsc", "http://www.uvm.edu/~uvmsc")</f>
        <v>http://www.uvm.edu/~uvmsc</v>
      </c>
      <c r="B45" t="s">
        <v>5</v>
      </c>
      <c r="C45" t="str">
        <f>HYPERLINK("https://www.reddit.com/r/opendirectories/comments/nf5xqf", "miscellaneous collection of old photographs")</f>
        <v>miscellaneous collection of old photographs</v>
      </c>
      <c r="D45" t="s">
        <v>381</v>
      </c>
    </row>
    <row r="46" spans="1:4" x14ac:dyDescent="0.2">
      <c r="A46" t="str">
        <f>HYPERLINK("https://www.doctormacro.com/Images", "https://www.doctormacro.com/Images")</f>
        <v>https://www.doctormacro.com/Images</v>
      </c>
      <c r="B46" t="s">
        <v>5</v>
      </c>
      <c r="C46" t="str">
        <f>HYPERLINK("https://www.reddit.com/r/opendirectories/comments/nf5w4f", "movie stills and pictures of various actors")</f>
        <v>movie stills and pictures of various actors</v>
      </c>
      <c r="D46" t="s">
        <v>381</v>
      </c>
    </row>
    <row r="47" spans="1:4" x14ac:dyDescent="0.2">
      <c r="A47" t="str">
        <f>HYPERLINK("http://chatzilla.hacksrus.com/screenshots", "http://chatzilla.hacksrus.com/screenshots")</f>
        <v>http://chatzilla.hacksrus.com/screenshots</v>
      </c>
      <c r="B47" t="s">
        <v>5</v>
      </c>
      <c r="C47" t="str">
        <f>HYPERLINK("https://www.reddit.com/r/opendirectories/comments/ndg1zg", "Just some random screenshots with kinda interesting topic")</f>
        <v>Just some random screenshots with kinda interesting topic</v>
      </c>
      <c r="D47" t="s">
        <v>519</v>
      </c>
    </row>
    <row r="48" spans="1:4" x14ac:dyDescent="0.2">
      <c r="A48" t="str">
        <f>HYPERLINK("http://www.digitalminx.com/photos", "http://www.digitalminx.com/photos")</f>
        <v>http://www.digitalminx.com/photos</v>
      </c>
      <c r="B48" t="s">
        <v>5</v>
      </c>
      <c r="C48" t="str">
        <f>HYPERLINK("https://www.reddit.com/r/opendirectories/comments/e1c72e", "Big collection of photos of female actresses sorted alphabetically")</f>
        <v>Big collection of photos of female actresses sorted alphabetically</v>
      </c>
      <c r="D48" t="s">
        <v>104</v>
      </c>
    </row>
    <row r="49" spans="1:4" x14ac:dyDescent="0.2">
      <c r="A49" t="str">
        <f>HYPERLINK("https://www.prikol.ru/wp-content/gallery", "https://www.prikol.ru/wp-content/gallery")</f>
        <v>https://www.prikol.ru/wp-content/gallery</v>
      </c>
      <c r="B49" t="s">
        <v>5</v>
      </c>
      <c r="C49" t="str">
        <f>HYPERLINK("https://www.reddit.com/r/opendirectories/comments/n4wvc1", "So many random images...October 2010 made me nostalgic for Ann...")</f>
        <v>So many random images...October 2010 made me nostalgic for Ann...</v>
      </c>
      <c r="D49" t="s">
        <v>722</v>
      </c>
    </row>
    <row r="50" spans="1:4" x14ac:dyDescent="0.2">
      <c r="A50" t="str">
        <f>HYPERLINK("http://videobot.ash1.opte.org", "http://videobot.ash1.opte.org")</f>
        <v>http://videobot.ash1.opte.org</v>
      </c>
      <c r="B50" t="s">
        <v>5</v>
      </c>
      <c r="C50" t="str">
        <f>HYPERLINK("https://www.reddit.com/r/opendirectories/comments/mymin4", "The Opte Project Raw Internet files")</f>
        <v>The Opte Project Raw Internet files</v>
      </c>
      <c r="D50" t="s">
        <v>464</v>
      </c>
    </row>
    <row r="51" spans="1:4" x14ac:dyDescent="0.2">
      <c r="A51" t="str">
        <f>HYPERLINK("https://www.hueylong.com/docs", "https://www.hueylong.com/docs")</f>
        <v>https://www.hueylong.com/docs</v>
      </c>
      <c r="B51" t="s">
        <v>5</v>
      </c>
      <c r="C51" t="str">
        <f>HYPERLINK("https://www.reddit.com/r/opendirectories/comments/mv73v0", "Collection of media related to Louisiana politician Huey Long")</f>
        <v>Collection of media related to Louisiana politician Huey Long</v>
      </c>
      <c r="D51" t="s">
        <v>465</v>
      </c>
    </row>
    <row r="52" spans="1:4" x14ac:dyDescent="0.2">
      <c r="A52" t="str">
        <f>HYPERLINK("https://www.hueylong.com/images", "https://www.hueylong.com/images")</f>
        <v>https://www.hueylong.com/images</v>
      </c>
      <c r="B52" t="s">
        <v>5</v>
      </c>
      <c r="C52" t="str">
        <f>HYPERLINK("https://www.reddit.com/r/opendirectories/comments/mv73v0", "Collection of media related to Louisiana politician Huey Long")</f>
        <v>Collection of media related to Louisiana politician Huey Long</v>
      </c>
      <c r="D52" t="s">
        <v>465</v>
      </c>
    </row>
    <row r="53" spans="1:4" x14ac:dyDescent="0.2">
      <c r="A53" t="str">
        <f>HYPERLINK("https://www.hueylong.com/audio", "https://www.hueylong.com/audio")</f>
        <v>https://www.hueylong.com/audio</v>
      </c>
      <c r="B53" t="s">
        <v>5</v>
      </c>
      <c r="C53" t="str">
        <f>HYPERLINK("https://www.reddit.com/r/opendirectories/comments/mv73v0", "Collection of media related to Louisiana politician Huey Long")</f>
        <v>Collection of media related to Louisiana politician Huey Long</v>
      </c>
      <c r="D53" t="s">
        <v>465</v>
      </c>
    </row>
    <row r="54" spans="1:4" x14ac:dyDescent="0.2">
      <c r="A54" t="str">
        <f>HYPERLINK("http://apollo.sese.asu.edu/data", "http://apollo.sese.asu.edu/data")</f>
        <v>http://apollo.sese.asu.edu/data</v>
      </c>
      <c r="B54" t="s">
        <v>5</v>
      </c>
      <c r="C54" t="str">
        <f>HYPERLINK("https://www.reddit.com/r/opendirectories/comments/mst9mc", "Apollo Image Archive")</f>
        <v>Apollo Image Archive</v>
      </c>
      <c r="D54" t="s">
        <v>723</v>
      </c>
    </row>
    <row r="55" spans="1:4" x14ac:dyDescent="0.2">
      <c r="A55" t="str">
        <f>HYPERLINK("https://aomci.org/wp-content/uploads", "https://aomci.org/wp-content/uploads")</f>
        <v>https://aomci.org/wp-content/uploads</v>
      </c>
      <c r="B55" t="s">
        <v>5</v>
      </c>
      <c r="C55" t="str">
        <f>HYPERLINK("https://www.reddit.com/r/opendirectories/comments/mrb2vh", "Images of Outboard Motors/Vintage Car Ads")</f>
        <v>Images of Outboard Motors/Vintage Car Ads</v>
      </c>
      <c r="D55" t="s">
        <v>586</v>
      </c>
    </row>
    <row r="56" spans="1:4" x14ac:dyDescent="0.2">
      <c r="A56" t="str">
        <f>HYPERLINK("http://tarlancafe.persiangig.com", "http://tarlancafe.persiangig.com")</f>
        <v>http://tarlancafe.persiangig.com</v>
      </c>
      <c r="B56" t="s">
        <v>5</v>
      </c>
      <c r="C56" t="str">
        <f>HYPERLINK("https://www.reddit.com/r/opendirectories/comments/mlc6mm", "pictures of Iranian food")</f>
        <v>pictures of Iranian food</v>
      </c>
      <c r="D56" t="s">
        <v>386</v>
      </c>
    </row>
    <row r="57" spans="1:4" x14ac:dyDescent="0.2">
      <c r="A57" t="str">
        <f>HYPERLINK("http://www.blackkat.net/tintin", "http://www.blackkat.net/tintin")</f>
        <v>http://www.blackkat.net/tintin</v>
      </c>
      <c r="B57" t="s">
        <v>5</v>
      </c>
      <c r="C57" t="str">
        <f>HYPERLINK("https://www.reddit.com/r/opendirectories/comments/mks6a3", "Some web wonderings I did today")</f>
        <v>Some web wonderings I did today</v>
      </c>
      <c r="D57" t="s">
        <v>274</v>
      </c>
    </row>
    <row r="58" spans="1:4" x14ac:dyDescent="0.2">
      <c r="A58" t="str">
        <f>HYPERLINK("https://www.sindark.com/genre", "https://www.sindark.com/genre")</f>
        <v>https://www.sindark.com/genre</v>
      </c>
      <c r="B58" t="s">
        <v>5</v>
      </c>
      <c r="C58" t="str">
        <f t="shared" ref="C58:C65" si="2">HYPERLINK("https://www.reddit.com/r/opendirectories/comments/mk2auw", "So Some Random...")</f>
        <v>So Some Random...</v>
      </c>
      <c r="D58" t="s">
        <v>387</v>
      </c>
    </row>
    <row r="59" spans="1:4" x14ac:dyDescent="0.2">
      <c r="A59" t="str">
        <f>HYPERLINK("http://thinkingxxx.com/content", "http://thinkingxxx.com/content")</f>
        <v>http://thinkingxxx.com/content</v>
      </c>
      <c r="B59" t="s">
        <v>5</v>
      </c>
      <c r="C59" t="str">
        <f t="shared" si="2"/>
        <v>So Some Random...</v>
      </c>
      <c r="D59" t="s">
        <v>387</v>
      </c>
    </row>
    <row r="60" spans="1:4" x14ac:dyDescent="0.2">
      <c r="A60" t="str">
        <f>HYPERLINK("https://www.chromalytic.com.au/pdf2", "https://www.chromalytic.com.au/pdf2")</f>
        <v>https://www.chromalytic.com.au/pdf2</v>
      </c>
      <c r="B60" t="s">
        <v>5</v>
      </c>
      <c r="C60" t="str">
        <f t="shared" si="2"/>
        <v>So Some Random...</v>
      </c>
      <c r="D60" t="s">
        <v>387</v>
      </c>
    </row>
    <row r="61" spans="1:4" x14ac:dyDescent="0.2">
      <c r="A61" t="str">
        <f>HYPERLINK("https://mirror.explodie.org", "https://mirror.explodie.org")</f>
        <v>https://mirror.explodie.org</v>
      </c>
      <c r="B61" t="s">
        <v>5</v>
      </c>
      <c r="C61" t="str">
        <f t="shared" si="2"/>
        <v>So Some Random...</v>
      </c>
      <c r="D61" t="s">
        <v>387</v>
      </c>
    </row>
    <row r="62" spans="1:4" x14ac:dyDescent="0.2">
      <c r="A62" t="str">
        <f>HYPERLINK("https://www.documents.clientearth.org/wp-content/uploads", "https://www.documents.clientearth.org/wp-content/uploads")</f>
        <v>https://www.documents.clientearth.org/wp-content/uploads</v>
      </c>
      <c r="B62" t="s">
        <v>5</v>
      </c>
      <c r="C62" t="str">
        <f t="shared" si="2"/>
        <v>So Some Random...</v>
      </c>
      <c r="D62" t="s">
        <v>387</v>
      </c>
    </row>
    <row r="63" spans="1:4" x14ac:dyDescent="0.2">
      <c r="A63" t="str">
        <f>HYPERLINK("http://faculty.bennington.edu", "http://faculty.bennington.edu")</f>
        <v>http://faculty.bennington.edu</v>
      </c>
      <c r="B63" t="s">
        <v>5</v>
      </c>
      <c r="C63" t="str">
        <f t="shared" si="2"/>
        <v>So Some Random...</v>
      </c>
      <c r="D63" t="s">
        <v>387</v>
      </c>
    </row>
    <row r="64" spans="1:4" x14ac:dyDescent="0.2">
      <c r="A64" t="str">
        <f>HYPERLINK("https://www.wmm.com/storage", "https://www.wmm.com/storage")</f>
        <v>https://www.wmm.com/storage</v>
      </c>
      <c r="B64" t="s">
        <v>5</v>
      </c>
      <c r="C64" t="str">
        <f t="shared" si="2"/>
        <v>So Some Random...</v>
      </c>
      <c r="D64" t="s">
        <v>387</v>
      </c>
    </row>
    <row r="65" spans="1:4" x14ac:dyDescent="0.2">
      <c r="A65" t="str">
        <f>HYPERLINK("https://www.fuckyeahfitgirls.com/wp-content/uploads", "https://www.fuckyeahfitgirls.com/wp-content/uploads")</f>
        <v>https://www.fuckyeahfitgirls.com/wp-content/uploads</v>
      </c>
      <c r="B65" t="s">
        <v>5</v>
      </c>
      <c r="C65" t="str">
        <f t="shared" si="2"/>
        <v>So Some Random...</v>
      </c>
      <c r="D65" t="s">
        <v>387</v>
      </c>
    </row>
    <row r="66" spans="1:4" x14ac:dyDescent="0.2">
      <c r="A66" t="str">
        <f>HYPERLINK("http://www.sumdumfuk.com/images", "http://www.sumdumfuk.com/images")</f>
        <v>http://www.sumdumfuk.com/images</v>
      </c>
      <c r="B66" t="s">
        <v>5</v>
      </c>
      <c r="C66" t="str">
        <f>HYPERLINK("https://www.reddit.com/r/opendirectories/comments/mjtj3j", "I know more XXX ...BUT... With some Funny...")</f>
        <v>I know more XXX ...BUT... With some Funny...</v>
      </c>
      <c r="D66" t="s">
        <v>387</v>
      </c>
    </row>
    <row r="67" spans="1:4" x14ac:dyDescent="0.2">
      <c r="A67" t="str">
        <f>HYPERLINK("http://www.b2wblog.com/wp-content/uploads", "http://www.b2wblog.com/wp-content/uploads")</f>
        <v>http://www.b2wblog.com/wp-content/uploads</v>
      </c>
      <c r="B67" t="s">
        <v>5</v>
      </c>
      <c r="C67" t="str">
        <f>HYPERLINK("https://www.reddit.com/r/opendirectories/comments/mjfq15", "This is Totally... NSFW...")</f>
        <v>This is Totally... NSFW...</v>
      </c>
      <c r="D67" t="s">
        <v>38</v>
      </c>
    </row>
    <row r="68" spans="1:4" x14ac:dyDescent="0.2">
      <c r="A68" t="str">
        <f>HYPERLINK("http://findboatpics.net/images", "http://findboatpics.net/images")</f>
        <v>http://findboatpics.net/images</v>
      </c>
      <c r="B68" t="s">
        <v>5</v>
      </c>
      <c r="C68" t="str">
        <f>HYPERLINK("https://www.reddit.com/r/opendirectories/comments/mj0pd1", "pictures of old sailing ships")</f>
        <v>pictures of old sailing ships</v>
      </c>
      <c r="D68" t="s">
        <v>38</v>
      </c>
    </row>
    <row r="69" spans="1:4" x14ac:dyDescent="0.2">
      <c r="A69" t="str">
        <f>HYPERLINK("https://www.naughtybits.us/wp-content/uploads", "https://www.naughtybits.us/wp-content/uploads")</f>
        <v>https://www.naughtybits.us/wp-content/uploads</v>
      </c>
      <c r="B69" t="s">
        <v>5</v>
      </c>
      <c r="C69" t="str">
        <f>HYPERLINK("https://www.reddit.com/r/opendirectories/comments/mi3970", "Well this is adult directory but funny'")</f>
        <v>Well this is adult directory but funny'</v>
      </c>
      <c r="D69" t="s">
        <v>40</v>
      </c>
    </row>
    <row r="70" spans="1:4" x14ac:dyDescent="0.2">
      <c r="A70" t="str">
        <f>HYPERLINK("https://naijauncut.com/wp-content/uploads", "https://naijauncut.com/wp-content/uploads")</f>
        <v>https://naijauncut.com/wp-content/uploads</v>
      </c>
      <c r="B70" t="s">
        <v>5</v>
      </c>
      <c r="C70" t="str">
        <f>HYPERLINK("https://www.reddit.com/r/opendirectories/comments/mhvite", "Lots Of Vids &amp;amp; Images")</f>
        <v>Lots Of Vids &amp;amp; Images</v>
      </c>
      <c r="D70" t="s">
        <v>40</v>
      </c>
    </row>
    <row r="71" spans="1:4" x14ac:dyDescent="0.2">
      <c r="A71" t="str">
        <f>HYPERLINK("http://www.factoryvideos.com", "http://www.factoryvideos.com")</f>
        <v>http://www.factoryvideos.com</v>
      </c>
      <c r="B71" t="s">
        <v>5</v>
      </c>
      <c r="C71" t="str">
        <f>HYPERLINK("https://www.reddit.com/r/opendirectories/comments/mhf16q", "Ok this one is for the Guys, Gals plus Non Binary's...")</f>
        <v>Ok this one is for the Guys, Gals plus Non Binary's...</v>
      </c>
      <c r="D71" t="s">
        <v>41</v>
      </c>
    </row>
    <row r="72" spans="1:4" x14ac:dyDescent="0.2">
      <c r="A72" t="str">
        <f>HYPERLINK("http://techno.pnru.ac.th/Program", "http://techno.pnru.ac.th/Program")</f>
        <v>http://techno.pnru.ac.th/Program</v>
      </c>
      <c r="B72" t="s">
        <v>5</v>
      </c>
      <c r="C72" t="str">
        <f>HYPERLINK("https://www.reddit.com/r/opendirectories/comments/mhdtw2", "Mixed Directories")</f>
        <v>Mixed Directories</v>
      </c>
      <c r="D72" t="s">
        <v>41</v>
      </c>
    </row>
    <row r="73" spans="1:4" x14ac:dyDescent="0.2">
      <c r="A73" t="str">
        <f>HYPERLINK("http://alvarestech.com/temp", "http://alvarestech.com/temp")</f>
        <v>http://alvarestech.com/temp</v>
      </c>
      <c r="B73" t="s">
        <v>5</v>
      </c>
      <c r="C73" t="str">
        <f>HYPERLINK("https://www.reddit.com/r/opendirectories/comments/mhdtw2", "Mixed Directories")</f>
        <v>Mixed Directories</v>
      </c>
      <c r="D73" t="s">
        <v>41</v>
      </c>
    </row>
    <row r="74" spans="1:4" x14ac:dyDescent="0.2">
      <c r="A74" t="str">
        <f>HYPERLINK("http://www.aquam.ag.spb.ru", "http://www.aquam.ag.spb.ru")</f>
        <v>http://www.aquam.ag.spb.ru</v>
      </c>
      <c r="B74" t="s">
        <v>5</v>
      </c>
      <c r="C74" t="str">
        <f>HYPERLINK("https://www.reddit.com/r/opendirectories/comments/mhdtw2", "Mixed Directories")</f>
        <v>Mixed Directories</v>
      </c>
      <c r="D74" t="s">
        <v>41</v>
      </c>
    </row>
    <row r="75" spans="1:4" x14ac:dyDescent="0.2">
      <c r="A75" t="str">
        <f>HYPERLINK("http://amirskyheart.persiangig.com", "http://amirskyheart.persiangig.com")</f>
        <v>http://amirskyheart.persiangig.com</v>
      </c>
      <c r="B75" t="s">
        <v>5</v>
      </c>
      <c r="C75" t="str">
        <f>HYPERLINK("https://www.reddit.com/r/opendirectories/comments/mhdtw2", "Mixed Directories")</f>
        <v>Mixed Directories</v>
      </c>
      <c r="D75" t="s">
        <v>41</v>
      </c>
    </row>
    <row r="76" spans="1:4" x14ac:dyDescent="0.2">
      <c r="A76" t="str">
        <f>HYPERLINK("https://www.scified.com/sites", "https://www.scified.com/sites")</f>
        <v>https://www.scified.com/sites</v>
      </c>
      <c r="B76" t="s">
        <v>5</v>
      </c>
      <c r="C76" t="str">
        <f>HYPERLINK("https://www.reddit.com/r/opendirectories/comments/mh9pgr", "Some Very Nice Wallpapers")</f>
        <v>Some Very Nice Wallpapers</v>
      </c>
      <c r="D76" t="s">
        <v>41</v>
      </c>
    </row>
    <row r="77" spans="1:4" x14ac:dyDescent="0.2">
      <c r="A77" t="str">
        <f>HYPERLINK("http://bestporngallery.com/wp-content/uploads", "http://bestporngallery.com/wp-content/uploads")</f>
        <v>http://bestporngallery.com/wp-content/uploads</v>
      </c>
      <c r="B77" t="s">
        <v>5</v>
      </c>
      <c r="C77" t="str">
        <f>HYPERLINK("https://www.reddit.com/r/opendirectories/comments/mh76bk", "More of the X-rated images...")</f>
        <v>More of the X-rated images...</v>
      </c>
      <c r="D77" t="s">
        <v>41</v>
      </c>
    </row>
    <row r="78" spans="1:4" x14ac:dyDescent="0.2">
      <c r="A78" t="str">
        <f>HYPERLINK("http://www.peopleofwalmart.com/wp-content/uploads", "http://www.peopleofwalmart.com/wp-content/uploads")</f>
        <v>http://www.peopleofwalmart.com/wp-content/uploads</v>
      </c>
      <c r="B78" t="s">
        <v>5</v>
      </c>
      <c r="C78" t="str">
        <f>HYPERLINK("https://www.reddit.com/r/opendirectories/comments/mgo0xi", "People who go to walmart...")</f>
        <v>People who go to walmart...</v>
      </c>
      <c r="D78" t="s">
        <v>383</v>
      </c>
    </row>
    <row r="79" spans="1:4" x14ac:dyDescent="0.2">
      <c r="A79" t="str">
        <f>HYPERLINK("http://1w6plus3.bplaced.net", "http://1w6plus3.bplaced.net")</f>
        <v>http://1w6plus3.bplaced.net</v>
      </c>
      <c r="B79" t="s">
        <v>5</v>
      </c>
      <c r="C79" t="str">
        <f>HYPERLINK("https://www.reddit.com/r/opendirectories/comments/mgiixo", "Some sort of game characters")</f>
        <v>Some sort of game characters</v>
      </c>
      <c r="D79" t="s">
        <v>383</v>
      </c>
    </row>
    <row r="80" spans="1:4" x14ac:dyDescent="0.2">
      <c r="A80" t="str">
        <f>HYPERLINK("https://shoelace.org", "https://shoelace.org")</f>
        <v>https://shoelace.org</v>
      </c>
      <c r="B80" t="s">
        <v>5</v>
      </c>
      <c r="C80" t="str">
        <f>HYPERLINK("https://www.reddit.com/r/opendirectories/comments/mggeol", "Big Image Dump")</f>
        <v>Big Image Dump</v>
      </c>
      <c r="D80" t="s">
        <v>383</v>
      </c>
    </row>
    <row r="81" spans="1:5" x14ac:dyDescent="0.2">
      <c r="A81" t="str">
        <f>HYPERLINK("https://hutt.co/images", "https://hutt.co/images")</f>
        <v>https://hutt.co/images</v>
      </c>
      <c r="B81" t="s">
        <v>5</v>
      </c>
      <c r="C81" t="str">
        <f>HYPERLINK("https://www.reddit.com/r/opendirectories/comments/mfraet", "Just images")</f>
        <v>Just images</v>
      </c>
      <c r="D81" t="s">
        <v>276</v>
      </c>
    </row>
    <row r="82" spans="1:5" x14ac:dyDescent="0.2">
      <c r="A82" t="str">
        <f>HYPERLINK("http://www.edencharms.com/english/sexy/images/gd", "http://www.edencharms.com/english/sexy/images/gd")</f>
        <v>http://www.edencharms.com/english/sexy/images/gd</v>
      </c>
      <c r="B82" t="s">
        <v>5</v>
      </c>
      <c r="C82" t="str">
        <f>HYPERLINK("https://www.reddit.com/r/opendirectories/comments/mf7khu", "Women in lingerie...")</f>
        <v>Women in lingerie...</v>
      </c>
      <c r="D82" t="s">
        <v>42</v>
      </c>
      <c r="E82" t="s">
        <v>14</v>
      </c>
    </row>
    <row r="83" spans="1:5" x14ac:dyDescent="0.2">
      <c r="A83" t="str">
        <f>HYPERLINK("http://labelme.csail.mit.edu/Release3.0/Images", "http://labelme.csail.mit.edu/Release3.0/Images")</f>
        <v>http://labelme.csail.mit.edu/Release3.0/Images</v>
      </c>
      <c r="B83" t="s">
        <v>5</v>
      </c>
      <c r="C83" t="str">
        <f>HYPERLINK("https://www.reddit.com/r/opendirectories/comments/mf6mwh", "Image directory...")</f>
        <v>Image directory...</v>
      </c>
      <c r="D83" t="s">
        <v>42</v>
      </c>
    </row>
    <row r="84" spans="1:5" x14ac:dyDescent="0.2">
      <c r="A84" t="str">
        <f>HYPERLINK("http://misfitmods.com/noxbackgrounds", "http://misfitmods.com/noxbackgrounds")</f>
        <v>http://misfitmods.com/noxbackgrounds</v>
      </c>
      <c r="B84" t="s">
        <v>5</v>
      </c>
      <c r="C84" t="str">
        <f>HYPERLINK("https://www.reddit.com/r/opendirectories/comments/mf4whp", "Wallpapers/Backgrounds...")</f>
        <v>Wallpapers/Backgrounds...</v>
      </c>
      <c r="D84" t="s">
        <v>42</v>
      </c>
    </row>
    <row r="85" spans="1:5" x14ac:dyDescent="0.2">
      <c r="A85" t="str">
        <f>HYPERLINK("http://spliffmobile.com/mobile-wallpapers", "http://spliffmobile.com/mobile-wallpapers")</f>
        <v>http://spliffmobile.com/mobile-wallpapers</v>
      </c>
      <c r="B85" t="s">
        <v>5</v>
      </c>
      <c r="C85" t="str">
        <f>HYPERLINK("https://www.reddit.com/r/opendirectories/comments/memwzk", "what it says...")</f>
        <v>what it says...</v>
      </c>
      <c r="D85" t="s">
        <v>724</v>
      </c>
    </row>
    <row r="86" spans="1:5" x14ac:dyDescent="0.2">
      <c r="A86" t="str">
        <f>HYPERLINK("http://idriders.com/temp", "http://idriders.com/temp")</f>
        <v>http://idriders.com/temp</v>
      </c>
      <c r="B86" t="s">
        <v>5</v>
      </c>
      <c r="C86" t="str">
        <f>HYPERLINK("https://www.reddit.com/r/opendirectories/comments/364gut", "OK...Gotta Little Time...More Porn and Stuff")</f>
        <v>OK...Gotta Little Time...More Porn and Stuff</v>
      </c>
      <c r="D86" t="s">
        <v>587</v>
      </c>
    </row>
    <row r="87" spans="1:5" x14ac:dyDescent="0.2">
      <c r="A87" t="str">
        <f>HYPERLINK("https://www.kshs.org/resource", "https://www.kshs.org/resource")</f>
        <v>https://www.kshs.org/resource</v>
      </c>
      <c r="B87" t="s">
        <v>5</v>
      </c>
      <c r="C87" t="str">
        <f>HYPERLINK("https://www.reddit.com/r/opendirectories/comments/m6877n", "archaeology field notes, reports and high res pictures.")</f>
        <v>archaeology field notes, reports and high res pictures.</v>
      </c>
      <c r="D87" t="s">
        <v>43</v>
      </c>
    </row>
    <row r="88" spans="1:5" x14ac:dyDescent="0.2">
      <c r="A88" t="str">
        <f>HYPERLINK("http://www.van-gogh.fr/images", "http://www.van-gogh.fr/images")</f>
        <v>http://www.van-gogh.fr/images</v>
      </c>
      <c r="B88" t="s">
        <v>5</v>
      </c>
      <c r="C88" t="str">
        <f>HYPERLINK("https://www.reddit.com/r/opendirectories/comments/m67u55", "art and artists")</f>
        <v>art and artists</v>
      </c>
      <c r="D88" t="s">
        <v>43</v>
      </c>
    </row>
    <row r="89" spans="1:5" x14ac:dyDescent="0.2">
      <c r="A89" t="str">
        <f>HYPERLINK("http://troitsk.org/sites/placeb0", "http://troitsk.org/sites/placeb0")</f>
        <v>http://troitsk.org/sites/placeb0</v>
      </c>
      <c r="B89" t="s">
        <v>5</v>
      </c>
      <c r="C89" t="str">
        <f>HYPERLINK("https://www.reddit.com/r/opendirectories/comments/m5x6jn", "Some pictures")</f>
        <v>Some pictures</v>
      </c>
      <c r="D89" t="s">
        <v>43</v>
      </c>
    </row>
    <row r="90" spans="1:5" x14ac:dyDescent="0.2">
      <c r="A90" t="str">
        <f>HYPERLINK("http://members.ozemail.com.au/~imcfadyen/Trains", "http://members.ozemail.com.au/~imcfadyen/Trains")</f>
        <v>http://members.ozemail.com.au/~imcfadyen/Trains</v>
      </c>
      <c r="B90" t="s">
        <v>5</v>
      </c>
      <c r="C90" t="str">
        <f>HYPERLINK("https://www.reddit.com/r/opendirectories/comments/m5dl1d", "pictures of trains")</f>
        <v>pictures of trains</v>
      </c>
      <c r="D90" t="s">
        <v>44</v>
      </c>
    </row>
    <row r="91" spans="1:5" x14ac:dyDescent="0.2">
      <c r="A91" t="str">
        <f>HYPERLINK("https://omgpornstars.com/img", "https://omgpornstars.com/img")</f>
        <v>https://omgpornstars.com/img</v>
      </c>
      <c r="B91" t="s">
        <v>5</v>
      </c>
      <c r="C91" t="str">
        <f>HYPERLINK("https://www.reddit.com/r/opendirectories/comments/m4waxk", "Images")</f>
        <v>Images</v>
      </c>
      <c r="D91" t="s">
        <v>45</v>
      </c>
    </row>
    <row r="92" spans="1:5" x14ac:dyDescent="0.2">
      <c r="A92" t="str">
        <f>HYPERLINK("https://thesandfly.com/Sfgalleries", "https://thesandfly.com/Sfgalleries")</f>
        <v>https://thesandfly.com/Sfgalleries</v>
      </c>
      <c r="B92" t="s">
        <v>5</v>
      </c>
      <c r="C92" t="str">
        <f>HYPERLINK("https://www.reddit.com/r/opendirectories/comments/clwlux", "Assortment of beachy candids.")</f>
        <v>Assortment of beachy candids.</v>
      </c>
      <c r="D92" t="s">
        <v>725</v>
      </c>
    </row>
    <row r="93" spans="1:5" x14ac:dyDescent="0.2">
      <c r="A93" t="str">
        <f>HYPERLINK("http://gamerchicks.com/sexy-free-nude", "http://gamerchicks.com/sexy-free-nude")</f>
        <v>http://gamerchicks.com/sexy-free-nude</v>
      </c>
      <c r="B93" t="s">
        <v>5</v>
      </c>
      <c r="C93" t="str">
        <f>HYPERLINK("https://www.reddit.com/r/opendirectories/comments/m4d9fw", "Gamer Chicks...")</f>
        <v>Gamer Chicks...</v>
      </c>
      <c r="D93" t="s">
        <v>281</v>
      </c>
    </row>
    <row r="94" spans="1:5" x14ac:dyDescent="0.2">
      <c r="A94" t="str">
        <f>HYPERLINK("https://sys.re", "https://sys.re")</f>
        <v>https://sys.re</v>
      </c>
      <c r="B94" t="s">
        <v>5</v>
      </c>
      <c r="C94" t="str">
        <f>HYPERLINK("https://www.reddit.com/r/opendirectories/comments/m3oduu", "Wallpapers..")</f>
        <v>Wallpapers..</v>
      </c>
      <c r="D94" t="s">
        <v>282</v>
      </c>
    </row>
    <row r="95" spans="1:5" x14ac:dyDescent="0.2">
      <c r="A95" t="str">
        <f>HYPERLINK("https://ocean.marcus.pw:8008", "https://ocean.marcus.pw:8008")</f>
        <v>https://ocean.marcus.pw:8008</v>
      </c>
      <c r="B95" t="s">
        <v>5</v>
      </c>
      <c r="C95" t="str">
        <f>HYPERLINK("https://www.reddit.com/r/opendirectories/comments/m3lmuf", "Asian xxx Stars")</f>
        <v>Asian xxx Stars</v>
      </c>
      <c r="D95" t="s">
        <v>282</v>
      </c>
    </row>
    <row r="96" spans="1:5" x14ac:dyDescent="0.2">
      <c r="A96" t="str">
        <f>HYPERLINK("https://bestporngallery.com/wp-content/uploads", "https://bestporngallery.com/wp-content/uploads")</f>
        <v>https://bestporngallery.com/wp-content/uploads</v>
      </c>
      <c r="B96" t="s">
        <v>5</v>
      </c>
      <c r="C96" t="str">
        <f>HYPERLINK("https://www.reddit.com/r/opendirectories/comments/m3hn4k", "Images....")</f>
        <v>Images....</v>
      </c>
      <c r="D96" t="s">
        <v>282</v>
      </c>
    </row>
    <row r="97" spans="1:5" x14ac:dyDescent="0.2">
      <c r="A97" t="str">
        <f>HYPERLINK("https://216.92.18.22", "https://216.92.18.22")</f>
        <v>https://216.92.18.22</v>
      </c>
      <c r="B97" t="s">
        <v>5</v>
      </c>
      <c r="C97" t="str">
        <f>HYPERLINK("https://www.reddit.com/r/opendirectories/comments/m2skic", "scans of records and record covers")</f>
        <v>scans of records and record covers</v>
      </c>
      <c r="D97" t="s">
        <v>388</v>
      </c>
    </row>
    <row r="98" spans="1:5" x14ac:dyDescent="0.2">
      <c r="A98" t="str">
        <f>HYPERLINK("https://gumby.bsch.com.au", "https://gumby.bsch.com.au")</f>
        <v>https://gumby.bsch.com.au</v>
      </c>
      <c r="B98" t="s">
        <v>5</v>
      </c>
      <c r="C98" t="str">
        <f>HYPERLINK("https://www.reddit.com/r/opendirectories/comments/m2h4sv", "Assorted Personal Photos of Around Australia")</f>
        <v>Assorted Personal Photos of Around Australia</v>
      </c>
      <c r="D98" t="s">
        <v>388</v>
      </c>
    </row>
    <row r="99" spans="1:5" x14ac:dyDescent="0.2">
      <c r="A99" t="str">
        <f>HYPERLINK("http://www.funtime.com.au/data/images", "http://www.funtime.com.au/data/images")</f>
        <v>http://www.funtime.com.au/data/images</v>
      </c>
      <c r="B99" t="s">
        <v>5</v>
      </c>
      <c r="C99" t="str">
        <f>HYPERLINK("https://www.reddit.com/r/opendirectories/comments/m2gzym", "Amusement park rides. Appears to be focused on roller coasters.")</f>
        <v>Amusement park rides. Appears to be focused on roller coasters.</v>
      </c>
      <c r="D99" t="s">
        <v>388</v>
      </c>
    </row>
    <row r="100" spans="1:5" x14ac:dyDescent="0.2">
      <c r="A100" t="str">
        <f>HYPERLINK("http://vuutube.com/wp-content/uploads", "http://vuutube.com/wp-content/uploads")</f>
        <v>http://vuutube.com/wp-content/uploads</v>
      </c>
      <c r="B100" t="s">
        <v>5</v>
      </c>
      <c r="C100" t="str">
        <f>HYPERLINK("https://www.reddit.com/r/opendirectories/comments/m2957d", "Some odd Clips..")</f>
        <v>Some odd Clips..</v>
      </c>
      <c r="D100" t="s">
        <v>283</v>
      </c>
    </row>
    <row r="101" spans="1:5" x14ac:dyDescent="0.2">
      <c r="A101" t="str">
        <f>HYPERLINK("https://www.thesandfly.com/Sfgalleries", "https://www.thesandfly.com/Sfgalleries")</f>
        <v>https://www.thesandfly.com/Sfgalleries</v>
      </c>
      <c r="B101" t="s">
        <v>5</v>
      </c>
      <c r="C101" t="str">
        <f>HYPERLINK("https://www.reddit.com/r/opendirectories/comments/m2830h", "Just Some Naughty Images")</f>
        <v>Just Some Naughty Images</v>
      </c>
      <c r="D101" t="s">
        <v>283</v>
      </c>
    </row>
    <row r="102" spans="1:5" x14ac:dyDescent="0.2">
      <c r="A102" t="str">
        <f>HYPERLINK("http://www.pornocaps.com/Pcaps", "http://www.pornocaps.com/Pcaps")</f>
        <v>http://www.pornocaps.com/Pcaps</v>
      </c>
      <c r="B102" t="s">
        <v>5</v>
      </c>
      <c r="C102" t="str">
        <f>HYPERLINK("https://www.reddit.com/r/opendirectories/comments/m21als", "Hot Exhibitionists....")</f>
        <v>Hot Exhibitionists....</v>
      </c>
      <c r="D102" t="s">
        <v>283</v>
      </c>
    </row>
    <row r="103" spans="1:5" x14ac:dyDescent="0.2">
      <c r="A103" t="str">
        <f>HYPERLINK("http://www.okaybbs.com/vip/attachments/uploads", "http://www.okaybbs.com/vip/attachments/uploads")</f>
        <v>http://www.okaybbs.com/vip/attachments/uploads</v>
      </c>
      <c r="B103" t="s">
        <v>5</v>
      </c>
      <c r="C103" t="str">
        <f>HYPERLINK("https://www.reddit.com/r/opendirectories/comments/at4r5m", "ASIAN PORN STUFF")</f>
        <v>ASIAN PORN STUFF</v>
      </c>
      <c r="D103" t="s">
        <v>284</v>
      </c>
      <c r="E103" t="s">
        <v>63</v>
      </c>
    </row>
    <row r="104" spans="1:5" x14ac:dyDescent="0.2">
      <c r="A104" t="str">
        <f>HYPERLINK("https://caramelstgirls.com/wp-content/images", "https://caramelstgirls.com/wp-content/images")</f>
        <v>https://caramelstgirls.com/wp-content/images</v>
      </c>
      <c r="B104" t="s">
        <v>5</v>
      </c>
      <c r="C104" t="str">
        <f>HYPERLINK("https://www.reddit.com/r/opendirectories/comments/m1ys7h", "All good clean fun...lol")</f>
        <v>All good clean fun...lol</v>
      </c>
      <c r="D104" t="s">
        <v>283</v>
      </c>
    </row>
    <row r="105" spans="1:5" x14ac:dyDescent="0.2">
      <c r="A105" t="str">
        <f>HYPERLINK("https://sinfordays.com/wp-content/uploads", "https://sinfordays.com/wp-content/uploads")</f>
        <v>https://sinfordays.com/wp-content/uploads</v>
      </c>
      <c r="B105" t="s">
        <v>5</v>
      </c>
      <c r="C105" t="str">
        <f>HYPERLINK("https://www.reddit.com/r/opendirectories/comments/m1td61", "Some pics")</f>
        <v>Some pics</v>
      </c>
      <c r="D105" t="s">
        <v>283</v>
      </c>
    </row>
    <row r="106" spans="1:5" x14ac:dyDescent="0.2">
      <c r="A106" t="str">
        <f>HYPERLINK("http://www.sextingpics.com/wp-content/uploads", "http://www.sextingpics.com/wp-content/uploads")</f>
        <v>http://www.sextingpics.com/wp-content/uploads</v>
      </c>
      <c r="B106" t="s">
        <v>5</v>
      </c>
      <c r="C106" t="str">
        <f>HYPERLINK("https://www.reddit.com/r/opendirectories/comments/62lqkf", "[NSFW] Thousands of amateur nude snapchat pictures !")</f>
        <v>[NSFW] Thousands of amateur nude snapchat pictures !</v>
      </c>
      <c r="D106" t="s">
        <v>578</v>
      </c>
    </row>
    <row r="107" spans="1:5" x14ac:dyDescent="0.2">
      <c r="A107" t="str">
        <f>HYPERLINK("http://mas.adult-services.net/content/straight", "http://mas.adult-services.net/content/straight")</f>
        <v>http://mas.adult-services.net/content/straight</v>
      </c>
      <c r="B107" t="s">
        <v>5</v>
      </c>
      <c r="C107" t="str">
        <f>HYPERLINK("https://www.reddit.com/r/opendirectories/comments/3os0h4", "NSFW: Huge directory of sorted jpgs, various, mostly small to med. size.")</f>
        <v>NSFW: Huge directory of sorted jpgs, various, mostly small to med. size.</v>
      </c>
      <c r="D107" t="s">
        <v>238</v>
      </c>
    </row>
    <row r="108" spans="1:5" x14ac:dyDescent="0.2">
      <c r="A108" t="str">
        <f>HYPERLINK("http://oksure.com/audio", "http://oksure.com/audio")</f>
        <v>http://oksure.com/audio</v>
      </c>
      <c r="B108" t="s">
        <v>5</v>
      </c>
      <c r="C108" t="str">
        <f t="shared" ref="C108:C115" si="3">HYPERLINK("https://www.reddit.com/r/opendirectories/comments/lztfm8", "Just some mp3's")</f>
        <v>Just some mp3's</v>
      </c>
      <c r="D108" t="s">
        <v>285</v>
      </c>
    </row>
    <row r="109" spans="1:5" x14ac:dyDescent="0.2">
      <c r="A109" t="str">
        <f>HYPERLINK("http://75.86.91.167", "http://75.86.91.167")</f>
        <v>http://75.86.91.167</v>
      </c>
      <c r="B109" t="s">
        <v>5</v>
      </c>
      <c r="C109" t="str">
        <f t="shared" si="3"/>
        <v>Just some mp3's</v>
      </c>
      <c r="D109" t="s">
        <v>285</v>
      </c>
    </row>
    <row r="110" spans="1:5" x14ac:dyDescent="0.2">
      <c r="A110" t="str">
        <f>HYPERLINK("https://preview.horizonsmusic.co.uk", "https://preview.horizonsmusic.co.uk")</f>
        <v>https://preview.horizonsmusic.co.uk</v>
      </c>
      <c r="B110" t="s">
        <v>5</v>
      </c>
      <c r="C110" t="str">
        <f t="shared" si="3"/>
        <v>Just some mp3's</v>
      </c>
      <c r="D110" t="s">
        <v>285</v>
      </c>
    </row>
    <row r="111" spans="1:5" x14ac:dyDescent="0.2">
      <c r="A111" t="str">
        <f>HYPERLINK("http://www.sbg.bio.ic.ac.uk/~brj03/music", "http://www.sbg.bio.ic.ac.uk/~brj03/music")</f>
        <v>http://www.sbg.bio.ic.ac.uk/~brj03/music</v>
      </c>
      <c r="B111" t="s">
        <v>5</v>
      </c>
      <c r="C111" t="str">
        <f t="shared" si="3"/>
        <v>Just some mp3's</v>
      </c>
      <c r="D111" t="s">
        <v>285</v>
      </c>
    </row>
    <row r="112" spans="1:5" x14ac:dyDescent="0.2">
      <c r="A112" t="str">
        <f>HYPERLINK("http://198.11.224.203/11LRNI/PUBLIC", "http://198.11.224.203/11LRNI/PUBLIC")</f>
        <v>http://198.11.224.203/11LRNI/PUBLIC</v>
      </c>
      <c r="B112" t="s">
        <v>5</v>
      </c>
      <c r="C112" t="str">
        <f t="shared" si="3"/>
        <v>Just some mp3's</v>
      </c>
      <c r="D112" t="s">
        <v>285</v>
      </c>
    </row>
    <row r="113" spans="1:5" x14ac:dyDescent="0.2">
      <c r="A113" t="str">
        <f>HYPERLINK("https://files.duspectacle.com/mp3", "https://files.duspectacle.com/mp3")</f>
        <v>https://files.duspectacle.com/mp3</v>
      </c>
      <c r="B113" t="s">
        <v>5</v>
      </c>
      <c r="C113" t="str">
        <f t="shared" si="3"/>
        <v>Just some mp3's</v>
      </c>
      <c r="D113" t="s">
        <v>285</v>
      </c>
    </row>
    <row r="114" spans="1:5" x14ac:dyDescent="0.2">
      <c r="A114" t="str">
        <f>HYPERLINK("http://baseshare.com/uploads/zips", "http://baseshare.com/uploads/zips")</f>
        <v>http://baseshare.com/uploads/zips</v>
      </c>
      <c r="B114" t="s">
        <v>5</v>
      </c>
      <c r="C114" t="str">
        <f t="shared" si="3"/>
        <v>Just some mp3's</v>
      </c>
      <c r="D114" t="s">
        <v>285</v>
      </c>
    </row>
    <row r="115" spans="1:5" x14ac:dyDescent="0.2">
      <c r="A115" t="str">
        <f>HYPERLINK("https://bootiemashup.com/wp-content/uploads", "https://bootiemashup.com/wp-content/uploads")</f>
        <v>https://bootiemashup.com/wp-content/uploads</v>
      </c>
      <c r="B115" t="s">
        <v>5</v>
      </c>
      <c r="C115" t="str">
        <f t="shared" si="3"/>
        <v>Just some mp3's</v>
      </c>
      <c r="D115" t="s">
        <v>285</v>
      </c>
    </row>
    <row r="116" spans="1:5" x14ac:dyDescent="0.2">
      <c r="A116" t="str">
        <f>HYPERLINK("http://www.foto-wallpapers.ru", "http://www.foto-wallpapers.ru")</f>
        <v>http://www.foto-wallpapers.ru</v>
      </c>
      <c r="B116" t="s">
        <v>5</v>
      </c>
      <c r="C116" t="str">
        <f>HYPERLINK("https://www.reddit.com/r/opendirectories/comments/lsynnx", "Various older Playboy models. Some pics, some shtml links. Russian website.")</f>
        <v>Various older Playboy models. Some pics, some shtml links. Russian website.</v>
      </c>
      <c r="D116" t="s">
        <v>286</v>
      </c>
      <c r="E116" t="s">
        <v>8</v>
      </c>
    </row>
    <row r="117" spans="1:5" x14ac:dyDescent="0.2">
      <c r="A117" t="str">
        <f>HYPERLINK("https://kulak.kuleuven.be/kulakbiocampus/bomen-heesters", "https://kulak.kuleuven.be/kulakbiocampus/bomen-heesters")</f>
        <v>https://kulak.kuleuven.be/kulakbiocampus/bomen-heesters</v>
      </c>
      <c r="B117" t="s">
        <v>5</v>
      </c>
      <c r="C117" t="str">
        <f>HYPERLINK("https://www.reddit.com/r/opendirectories/comments/lsmtrq", "A directory cointaining images of plants")</f>
        <v>A directory cointaining images of plants</v>
      </c>
      <c r="D117" t="s">
        <v>286</v>
      </c>
    </row>
    <row r="118" spans="1:5" x14ac:dyDescent="0.2">
      <c r="A118" t="str">
        <f>HYPERLINK("http://www.groovydomain.com/gallery", "http://www.groovydomain.com/gallery")</f>
        <v>http://www.groovydomain.com/gallery</v>
      </c>
      <c r="B118" t="s">
        <v>5</v>
      </c>
      <c r="C118" t="str">
        <f>HYPERLINK("https://www.reddit.com/r/opendirectories/comments/5dzb6s", "Rock MP3 Albums")</f>
        <v>Rock MP3 Albums</v>
      </c>
      <c r="D118" t="s">
        <v>211</v>
      </c>
    </row>
    <row r="119" spans="1:5" x14ac:dyDescent="0.2">
      <c r="A119" t="str">
        <f>HYPERLINK("https://web.stanford.edu/group/dosti/images", "https://web.stanford.edu/group/dosti/images")</f>
        <v>https://web.stanford.edu/group/dosti/images</v>
      </c>
      <c r="B119" t="s">
        <v>5</v>
      </c>
      <c r="C119" t="str">
        <f>HYPERLINK("https://www.reddit.com/r/opendirectories/comments/lffwbz", "Some hand-named image files from Project Dosti of stanford. IDK if this fits here or not.")</f>
        <v>Some hand-named image files from Project Dosti of stanford. IDK if this fits here or not.</v>
      </c>
      <c r="D119" t="s">
        <v>292</v>
      </c>
    </row>
    <row r="120" spans="1:5" x14ac:dyDescent="0.2">
      <c r="A120" t="str">
        <f>HYPERLINK("http://www.phase9.tv/wp-content/uploads", "http://www.phase9.tv/wp-content/uploads")</f>
        <v>http://www.phase9.tv/wp-content/uploads</v>
      </c>
      <c r="B120" t="s">
        <v>5</v>
      </c>
      <c r="C120" t="str">
        <f>HYPERLINK("https://www.reddit.com/r/opendirectories/comments/lbpvd8", "Posters of Movies &amp;amp; TV Shows")</f>
        <v>Posters of Movies &amp;amp; TV Shows</v>
      </c>
      <c r="D120" t="s">
        <v>50</v>
      </c>
    </row>
    <row r="121" spans="1:5" x14ac:dyDescent="0.2">
      <c r="A121" t="str">
        <f>HYPERLINK("http://glpics.com/matthewv", "http://glpics.com/matthewv")</f>
        <v>http://glpics.com/matthewv</v>
      </c>
      <c r="B121" t="s">
        <v>5</v>
      </c>
      <c r="C121" t="str">
        <f>HYPERLINK("https://www.reddit.com/r/opendirectories/comments/l95pf0", "Artwork, fractals, misc.")</f>
        <v>Artwork, fractals, misc.</v>
      </c>
      <c r="D121" t="s">
        <v>679</v>
      </c>
    </row>
    <row r="122" spans="1:5" x14ac:dyDescent="0.2">
      <c r="A122" t="str">
        <f>HYPERLINK("http://hcmaslov.d-real.sci-nnov.ru", "http://hcmaslov.d-real.sci-nnov.ru")</f>
        <v>http://hcmaslov.d-real.sci-nnov.ru</v>
      </c>
      <c r="B122" t="s">
        <v>5</v>
      </c>
      <c r="C122" t="str">
        <f>HYPERLINK("https://www.reddit.com/r/opendirectories/comments/6vw8h5", "Russian guy's public folder of mp3s, family photos, cat pictures, and documents")</f>
        <v>Russian guy's public folder of mp3s, family photos, cat pictures, and documents</v>
      </c>
      <c r="D122" t="s">
        <v>393</v>
      </c>
      <c r="E122" t="s">
        <v>156</v>
      </c>
    </row>
    <row r="123" spans="1:5" x14ac:dyDescent="0.2">
      <c r="A123" t="str">
        <f>HYPERLINK("https://www.culture-informatique.net/download", "https://www.culture-informatique.net/download")</f>
        <v>https://www.culture-informatique.net/download</v>
      </c>
      <c r="B123" t="s">
        <v>5</v>
      </c>
      <c r="C123" t="str">
        <f>HYPERLINK("https://www.reddit.com/r/opendirectories/comments/l0tequ", "System images (Ubuntu, W. XP, 7, 10) and more")</f>
        <v>System images (Ubuntu, W. XP, 7, 10) and more</v>
      </c>
      <c r="D123" t="s">
        <v>726</v>
      </c>
    </row>
    <row r="124" spans="1:5" x14ac:dyDescent="0.2">
      <c r="A124" t="str">
        <f>HYPERLINK("http://148.72.150.188", "http://148.72.150.188")</f>
        <v>http://148.72.150.188</v>
      </c>
      <c r="B124" t="s">
        <v>5</v>
      </c>
      <c r="C124" t="str">
        <f>HYPERLINK("https://www.reddit.com/r/opendirectories/comments/ksp6l3", "If random content is interesting for you")</f>
        <v>If random content is interesting for you</v>
      </c>
      <c r="D124" t="s">
        <v>521</v>
      </c>
    </row>
    <row r="125" spans="1:5" x14ac:dyDescent="0.2">
      <c r="A125" t="str">
        <f>HYPERLINK("http://feelthecurves.com/wp-content/gallery", "http://feelthecurves.com/wp-content/gallery")</f>
        <v>http://feelthecurves.com/wp-content/gallery</v>
      </c>
      <c r="B125" t="s">
        <v>5</v>
      </c>
      <c r="C125" t="str">
        <f>HYPERLINK("https://www.reddit.com/r/opendirectories/comments/kpcylf", "Big boobs")</f>
        <v>Big boobs</v>
      </c>
      <c r="D125" t="s">
        <v>727</v>
      </c>
    </row>
    <row r="126" spans="1:5" x14ac:dyDescent="0.2">
      <c r="A126" t="str">
        <f>HYPERLINK("https://hypendium.com", "https://hypendium.com")</f>
        <v>https://hypendium.com</v>
      </c>
      <c r="B126" t="s">
        <v>5</v>
      </c>
      <c r="C126" t="str">
        <f>HYPERLINK("https://www.reddit.com/r/opendirectories/comments/kkt0eo", "Not sure but looks like scenes from video games (possibly NSFW)")</f>
        <v>Not sure but looks like scenes from video games (possibly NSFW)</v>
      </c>
      <c r="D126" t="s">
        <v>297</v>
      </c>
    </row>
    <row r="127" spans="1:5" x14ac:dyDescent="0.2">
      <c r="A127" t="str">
        <f>HYPERLINK("https://www.alfinetesdemorango.com/wp-content/uploads", "https://www.alfinetesdemorango.com/wp-content/uploads")</f>
        <v>https://www.alfinetesdemorango.com/wp-content/uploads</v>
      </c>
      <c r="B127" t="s">
        <v>5</v>
      </c>
      <c r="C127" t="str">
        <f>HYPERLINK("https://www.reddit.com/r/opendirectories/comments/kb5orl", "The Word of the Day is Ballet")</f>
        <v>The Word of the Day is Ballet</v>
      </c>
      <c r="D127" t="s">
        <v>299</v>
      </c>
      <c r="E127" t="s">
        <v>51</v>
      </c>
    </row>
    <row r="128" spans="1:5" x14ac:dyDescent="0.2">
      <c r="A128" t="str">
        <f>HYPERLINK("https://www.retrowaste.com/wp-content/uploads", "https://www.retrowaste.com/wp-content/uploads")</f>
        <v>https://www.retrowaste.com/wp-content/uploads</v>
      </c>
      <c r="B128" t="s">
        <v>5</v>
      </c>
      <c r="C128" t="str">
        <f>HYPERLINK("https://www.reddit.com/r/opendirectories/comments/kb5m72", "It ain't tiddies, but it's still cool: 1920s - 1990s Cars and Fashions")</f>
        <v>It ain't tiddies, but it's still cool: 1920s - 1990s Cars and Fashions</v>
      </c>
      <c r="D128" t="s">
        <v>299</v>
      </c>
    </row>
    <row r="129" spans="1:4" x14ac:dyDescent="0.2">
      <c r="A129" t="str">
        <f>HYPERLINK("https://www.exploringlasvegas.com/shows", "https://www.exploringlasvegas.com/shows")</f>
        <v>https://www.exploringlasvegas.com/shows</v>
      </c>
      <c r="B129" t="s">
        <v>5</v>
      </c>
      <c r="C129" t="str">
        <f>HYPERLINK("https://www.reddit.com/r/opendirectories/comments/kal53h", "Nice collection of Las Vegas shows (possibly NSFW)")</f>
        <v>Nice collection of Las Vegas shows (possibly NSFW)</v>
      </c>
      <c r="D129" t="s">
        <v>300</v>
      </c>
    </row>
    <row r="130" spans="1:4" x14ac:dyDescent="0.2">
      <c r="A130" t="str">
        <f>HYPERLINK("https://hauteshots.com/wp-content/uploads", "https://hauteshots.com/wp-content/uploads")</f>
        <v>https://hauteshots.com/wp-content/uploads</v>
      </c>
      <c r="B130" t="s">
        <v>5</v>
      </c>
      <c r="C130" t="str">
        <f>HYPERLINK("https://www.reddit.com/r/opendirectories/comments/k9zd75", "More Glamor &amp;amp; Boudoir Photographers")</f>
        <v>More Glamor &amp;amp; Boudoir Photographers</v>
      </c>
      <c r="D130" t="s">
        <v>728</v>
      </c>
    </row>
    <row r="131" spans="1:4" x14ac:dyDescent="0.2">
      <c r="A131" t="str">
        <f>HYPERLINK("http://www.web.pdx.edu/~mcclured/The%20Boys", "http://www.web.pdx.edu/~mcclured/The%20Boys")</f>
        <v>http://www.web.pdx.edu/~mcclured/The%20Boys</v>
      </c>
      <c r="B131" t="s">
        <v>5</v>
      </c>
      <c r="C131" t="str">
        <f>HYPERLINK("https://www.reddit.com/r/opendirectories/comments/k88ots", "Pictures of Cats")</f>
        <v>Pictures of Cats</v>
      </c>
      <c r="D131" t="s">
        <v>729</v>
      </c>
    </row>
    <row r="132" spans="1:4" x14ac:dyDescent="0.2">
      <c r="A132" t="str">
        <f>HYPERLINK("http://www.adultcapital.club", "http://www.adultcapital.club")</f>
        <v>http://www.adultcapital.club</v>
      </c>
      <c r="B132" t="s">
        <v>5</v>
      </c>
      <c r="D132" t="s">
        <v>301</v>
      </c>
    </row>
    <row r="133" spans="1:4" x14ac:dyDescent="0.2">
      <c r="A133" t="str">
        <f>HYPERLINK("http://www.ashleecadell.com", "http://www.ashleecadell.com")</f>
        <v>http://www.ashleecadell.com</v>
      </c>
      <c r="B133" t="s">
        <v>5</v>
      </c>
      <c r="C133" t="str">
        <f>HYPERLINK("https://www.reddit.com/r/opendirectories/comments/jj3fas", "Tons of MP3s, Good Speeds")</f>
        <v>Tons of MP3s, Good Speeds</v>
      </c>
      <c r="D133" t="s">
        <v>474</v>
      </c>
    </row>
    <row r="134" spans="1:4" x14ac:dyDescent="0.2">
      <c r="A134" t="str">
        <f>HYPERLINK("https://historiaspulp.com/wp-content/uploads", "https://historiaspulp.com/wp-content/uploads")</f>
        <v>https://historiaspulp.com/wp-content/uploads</v>
      </c>
      <c r="B134" t="s">
        <v>5</v>
      </c>
      <c r="C134" t="str">
        <f>HYPERLINK("https://www.reddit.com/r/opendirectories/comments/k73sbg", "Book Covers")</f>
        <v>Book Covers</v>
      </c>
      <c r="D134" t="s">
        <v>57</v>
      </c>
    </row>
    <row r="135" spans="1:4" x14ac:dyDescent="0.2">
      <c r="A135" t="str">
        <f>HYPERLINK("http://www.splattermind.com", "http://www.splattermind.com")</f>
        <v>http://www.splattermind.com</v>
      </c>
      <c r="B135" t="s">
        <v>5</v>
      </c>
      <c r="C135" t="str">
        <f>HYPERLINK("https://www.reddit.com/r/opendirectories/comments/aby1kp", "music video and audio")</f>
        <v>music video and audio</v>
      </c>
      <c r="D135" t="s">
        <v>303</v>
      </c>
    </row>
    <row r="136" spans="1:4" x14ac:dyDescent="0.2">
      <c r="A136" t="str">
        <f>HYPERLINK("http://pics.yougave.me", "http://pics.yougave.me")</f>
        <v>http://pics.yougave.me</v>
      </c>
      <c r="B136" t="s">
        <v>5</v>
      </c>
      <c r="C136" t="str">
        <f>HYPERLINK("https://www.reddit.com/r/opendirectories/comments/k3i5tp", "I have no idea what's the genre of this OD is...")</f>
        <v>I have no idea what's the genre of this OD is...</v>
      </c>
      <c r="D136" t="s">
        <v>730</v>
      </c>
    </row>
    <row r="137" spans="1:4" x14ac:dyDescent="0.2">
      <c r="A137" t="str">
        <f>HYPERLINK("http://volgauniversal.ru/pictures", "http://volgauniversal.ru/pictures")</f>
        <v>http://volgauniversal.ru/pictures</v>
      </c>
      <c r="B137" t="s">
        <v>5</v>
      </c>
      <c r="C137" t="str">
        <f>HYPERLINK("https://www.reddit.com/r/opendirectories/comments/k4lm03", "Found this OD while surfing net. Lots of random stuff....")</f>
        <v>Found this OD while surfing net. Lots of random stuff....</v>
      </c>
      <c r="D137" t="s">
        <v>305</v>
      </c>
    </row>
    <row r="138" spans="1:4" x14ac:dyDescent="0.2">
      <c r="A138" t="str">
        <f>HYPERLINK("http://www.eroticartfan.com/galleries", "http://www.eroticartfan.com/galleries")</f>
        <v>http://www.eroticartfan.com/galleries</v>
      </c>
      <c r="B138" t="s">
        <v>5</v>
      </c>
      <c r="C138" t="str">
        <f>HYPERLINK("https://www.reddit.com/r/opendirectories/comments/k3eonv", "Pr0nstar galleries (nsfw)")</f>
        <v>Pr0nstar galleries (nsfw)</v>
      </c>
      <c r="D138" t="s">
        <v>730</v>
      </c>
    </row>
    <row r="139" spans="1:4" x14ac:dyDescent="0.2">
      <c r="A139" t="str">
        <f>HYPERLINK("https://engorgedtits.com/wp-content/uploads", "https://engorgedtits.com/wp-content/uploads")</f>
        <v>https://engorgedtits.com/wp-content/uploads</v>
      </c>
      <c r="B139" t="s">
        <v>5</v>
      </c>
      <c r="C139" t="str">
        <f>HYPERLINK("https://www.reddit.com/r/opendirectories/comments/k2n3fw", "decent size Dir, Huge size Tits, some pics and movies NSFW")</f>
        <v>decent size Dir, Huge size Tits, some pics and movies NSFW</v>
      </c>
      <c r="D139" t="s">
        <v>395</v>
      </c>
    </row>
    <row r="140" spans="1:4" x14ac:dyDescent="0.2">
      <c r="A140" t="str">
        <f>HYPERLINK("https://home.pilsfree.net", "https://home.pilsfree.net")</f>
        <v>https://home.pilsfree.net</v>
      </c>
      <c r="B140" t="s">
        <v>5</v>
      </c>
      <c r="C140" t="str">
        <f>HYPERLINK("https://www.reddit.com/r/opendirectories/comments/ape43b", "list of RE-POST's")</f>
        <v>list of RE-POST's</v>
      </c>
      <c r="D140" t="s">
        <v>396</v>
      </c>
    </row>
    <row r="141" spans="1:4" x14ac:dyDescent="0.2">
      <c r="A141" t="str">
        <f>HYPERLINK("https://www.tanikal.com/wp-content/uploads", "https://www.tanikal.com/wp-content/uploads")</f>
        <v>https://www.tanikal.com/wp-content/uploads</v>
      </c>
      <c r="B141" t="s">
        <v>5</v>
      </c>
      <c r="C141" t="str">
        <f>HYPERLINK("https://www.reddit.com/r/opendirectories/comments/jzq0fu", "Soundtrack albums' cover photos im different resolutions")</f>
        <v>Soundtrack albums' cover photos im different resolutions</v>
      </c>
      <c r="D141" t="s">
        <v>59</v>
      </c>
    </row>
    <row r="142" spans="1:4" x14ac:dyDescent="0.2">
      <c r="A142" t="str">
        <f>HYPERLINK("https://stepheniemeyer.com/wp-content/uploads", "https://stepheniemeyer.com/wp-content/uploads")</f>
        <v>https://stepheniemeyer.com/wp-content/uploads</v>
      </c>
      <c r="B142" t="s">
        <v>5</v>
      </c>
      <c r="C142" t="str">
        <f>HYPERLINK("https://www.reddit.com/r/opendirectories/comments/jzo7ea", "Twilight photos, pdfs, mp3s from Stephenie Meyer's own website.")</f>
        <v>Twilight photos, pdfs, mp3s from Stephenie Meyer's own website.</v>
      </c>
      <c r="D142" t="s">
        <v>59</v>
      </c>
    </row>
    <row r="143" spans="1:4" x14ac:dyDescent="0.2">
      <c r="A143" t="str">
        <f>HYPERLINK("http://real-uksex.com/wp-content/uploads", "http://real-uksex.com/wp-content/uploads")</f>
        <v>http://real-uksex.com/wp-content/uploads</v>
      </c>
      <c r="B143" t="s">
        <v>5</v>
      </c>
      <c r="C143" t="str">
        <f>HYPERLINK("https://www.reddit.com/r/opendirectories/comments/jyxyph", "Loads of UK adult images &amp;amp; movies NSFW")</f>
        <v>Loads of UK adult images &amp;amp; movies NSFW</v>
      </c>
      <c r="D143" t="s">
        <v>397</v>
      </c>
    </row>
    <row r="144" spans="1:4" x14ac:dyDescent="0.2">
      <c r="A144" t="str">
        <f>HYPERLINK("http://www.photogriffon.com/photos-du-monde", "http://www.photogriffon.com/photos-du-monde")</f>
        <v>http://www.photogriffon.com/photos-du-monde</v>
      </c>
      <c r="B144" t="s">
        <v>5</v>
      </c>
      <c r="C144" t="str">
        <f>HYPERLINK("https://www.reddit.com/r/opendirectories/comments/jwoyfu", "Photos of Sylvester Stallone.")</f>
        <v>Photos of Sylvester Stallone.</v>
      </c>
      <c r="D144" t="s">
        <v>308</v>
      </c>
    </row>
    <row r="145" spans="1:5" x14ac:dyDescent="0.2">
      <c r="A145" t="str">
        <f>HYPERLINK("http://www.sepanek.com/nipples", "http://www.sepanek.com/nipples")</f>
        <v>http://www.sepanek.com/nipples</v>
      </c>
      <c r="B145" t="s">
        <v>5</v>
      </c>
      <c r="C145" t="str">
        <f>HYPERLINK("https://www.reddit.com/r/opendirectories/comments/jwjdo8", "Just some nipples")</f>
        <v>Just some nipples</v>
      </c>
      <c r="D145" t="s">
        <v>308</v>
      </c>
    </row>
    <row r="146" spans="1:5" x14ac:dyDescent="0.2">
      <c r="A146" t="str">
        <f>HYPERLINK("https://malibustrings.com/competition", "https://malibustrings.com/competition")</f>
        <v>https://malibustrings.com/competition</v>
      </c>
      <c r="B146" t="s">
        <v>5</v>
      </c>
      <c r="C146" t="str">
        <f>HYPERLINK("https://www.reddit.com/r/opendirectories/comments/jmorgs", "Malibu Bikinis, are these legal?")</f>
        <v>Malibu Bikinis, are these legal?</v>
      </c>
      <c r="D146" t="s">
        <v>310</v>
      </c>
      <c r="E146" t="s">
        <v>184</v>
      </c>
    </row>
    <row r="147" spans="1:5" x14ac:dyDescent="0.2">
      <c r="A147" t="str">
        <f>HYPERLINK("https://www.orientbeach.com", "https://www.orientbeach.com")</f>
        <v>https://www.orientbeach.com</v>
      </c>
      <c r="B147" t="s">
        <v>5</v>
      </c>
      <c r="C147" t="str">
        <f>HYPERLINK("https://www.reddit.com/r/opendirectories/comments/jmnfht", "Come to Orient Beach!")</f>
        <v>Come to Orient Beach!</v>
      </c>
      <c r="D147" t="s">
        <v>310</v>
      </c>
    </row>
    <row r="148" spans="1:5" x14ac:dyDescent="0.2">
      <c r="A148" t="str">
        <f>HYPERLINK("http://kuukunen.net/pics", "http://kuukunen.net/pics")</f>
        <v>http://kuukunen.net/pics</v>
      </c>
      <c r="B148" t="s">
        <v>5</v>
      </c>
      <c r="C148" t="str">
        <f>HYPERLINK("https://www.reddit.com/r/opendirectories/comments/jkznib", "Got Cosplay?")</f>
        <v>Got Cosplay?</v>
      </c>
      <c r="D148" t="s">
        <v>731</v>
      </c>
    </row>
    <row r="149" spans="1:5" x14ac:dyDescent="0.2">
      <c r="A149" t="str">
        <f>HYPERLINK("http://www2.ci-n.com/~jcampbel/images", "http://www2.ci-n.com/~jcampbel/images")</f>
        <v>http://www2.ci-n.com/~jcampbel/images</v>
      </c>
      <c r="B149" t="s">
        <v>5</v>
      </c>
      <c r="C149" t="str">
        <f>HYPERLINK("https://www.reddit.com/r/opendirectories/comments/jkznib", "Got Cosplay?")</f>
        <v>Got Cosplay?</v>
      </c>
      <c r="D149" t="s">
        <v>731</v>
      </c>
    </row>
    <row r="150" spans="1:5" x14ac:dyDescent="0.2">
      <c r="A150" t="str">
        <f>HYPERLINK("http://www.provocatique.com/wp-content/gallery", "http://www.provocatique.com/wp-content/gallery")</f>
        <v>http://www.provocatique.com/wp-content/gallery</v>
      </c>
      <c r="B150" t="s">
        <v>5</v>
      </c>
      <c r="C150" t="str">
        <f>HYPERLINK("https://www.reddit.com/r/opendirectories/comments/jkclrp", "The Word of the Day is Boudoir")</f>
        <v>The Word of the Day is Boudoir</v>
      </c>
      <c r="D150" t="s">
        <v>732</v>
      </c>
    </row>
    <row r="151" spans="1:5" x14ac:dyDescent="0.2">
      <c r="A151" t="str">
        <f>HYPERLINK("http://bahiabeachtenerife.com/ftp", "http://bahiabeachtenerife.com/ftp")</f>
        <v>http://bahiabeachtenerife.com/ftp</v>
      </c>
      <c r="B151" t="s">
        <v>5</v>
      </c>
      <c r="C151" t="str">
        <f>HYPERLINK("https://www.reddit.com/r/opendirectories/comments/jjkj3d", "Some Music. Parent directories have some pictures")</f>
        <v>Some Music. Parent directories have some pictures</v>
      </c>
      <c r="D151" t="s">
        <v>311</v>
      </c>
    </row>
    <row r="152" spans="1:5" x14ac:dyDescent="0.2">
      <c r="A152" t="str">
        <f>HYPERLINK("http://www.kisax.com/images", "http://www.kisax.com/images")</f>
        <v>http://www.kisax.com/images</v>
      </c>
      <c r="B152" t="s">
        <v>5</v>
      </c>
      <c r="D152" t="s">
        <v>733</v>
      </c>
    </row>
    <row r="153" spans="1:5" x14ac:dyDescent="0.2">
      <c r="A153" t="str">
        <f>HYPERLINK("http://joezasada.com/images", "http://joezasada.com/images")</f>
        <v>http://joezasada.com/images</v>
      </c>
      <c r="B153" t="s">
        <v>5</v>
      </c>
      <c r="C153" t="str">
        <f t="shared" ref="C153:C158" si="4">HYPERLINK("https://www.reddit.com/r/opendirectories/comments/je1szt", "Pin Ups")</f>
        <v>Pin Ups</v>
      </c>
      <c r="D153" t="s">
        <v>734</v>
      </c>
    </row>
    <row r="154" spans="1:5" x14ac:dyDescent="0.2">
      <c r="A154" t="str">
        <f>HYPERLINK("http://www.signnetwork.com/decals/Decals", "http://www.signnetwork.com/decals/Decals")</f>
        <v>http://www.signnetwork.com/decals/Decals</v>
      </c>
      <c r="B154" t="s">
        <v>5</v>
      </c>
      <c r="C154" t="str">
        <f t="shared" si="4"/>
        <v>Pin Ups</v>
      </c>
      <c r="D154" t="s">
        <v>734</v>
      </c>
    </row>
    <row r="155" spans="1:5" x14ac:dyDescent="0.2">
      <c r="A155" t="str">
        <f>HYPERLINK("http://alvaranda.com/images", "http://alvaranda.com/images")</f>
        <v>http://alvaranda.com/images</v>
      </c>
      <c r="B155" t="s">
        <v>5</v>
      </c>
      <c r="C155" t="str">
        <f t="shared" si="4"/>
        <v>Pin Ups</v>
      </c>
      <c r="D155" t="s">
        <v>734</v>
      </c>
    </row>
    <row r="156" spans="1:5" x14ac:dyDescent="0.2">
      <c r="A156" t="str">
        <f>HYPERLINK("http://dailyartcocktail.com/images", "http://dailyartcocktail.com/images")</f>
        <v>http://dailyartcocktail.com/images</v>
      </c>
      <c r="B156" t="s">
        <v>5</v>
      </c>
      <c r="C156" t="str">
        <f t="shared" si="4"/>
        <v>Pin Ups</v>
      </c>
      <c r="D156" t="s">
        <v>734</v>
      </c>
    </row>
    <row r="157" spans="1:5" x14ac:dyDescent="0.2">
      <c r="A157" t="str">
        <f>HYPERLINK("http://www.bdcharleroi.com/images", "http://www.bdcharleroi.com/images")</f>
        <v>http://www.bdcharleroi.com/images</v>
      </c>
      <c r="B157" t="s">
        <v>5</v>
      </c>
      <c r="C157" t="str">
        <f t="shared" si="4"/>
        <v>Pin Ups</v>
      </c>
      <c r="D157" t="s">
        <v>734</v>
      </c>
    </row>
    <row r="158" spans="1:5" x14ac:dyDescent="0.2">
      <c r="A158" t="str">
        <f>HYPERLINK("https://www.toperfect.com/pic", "https://www.toperfect.com/pic")</f>
        <v>https://www.toperfect.com/pic</v>
      </c>
      <c r="B158" t="s">
        <v>5</v>
      </c>
      <c r="C158" t="str">
        <f t="shared" si="4"/>
        <v>Pin Ups</v>
      </c>
      <c r="D158" t="s">
        <v>734</v>
      </c>
    </row>
    <row r="159" spans="1:5" x14ac:dyDescent="0.2">
      <c r="A159" t="str">
        <f>HYPERLINK("http://119.252.20.40:443", "http://119.252.20.40:443")</f>
        <v>http://119.252.20.40:443</v>
      </c>
      <c r="B159" t="s">
        <v>5</v>
      </c>
      <c r="C159" t="str">
        <f>HYPERLINK("https://www.reddit.com/r/opendirectories/comments/j4hz7q", "nerd memes")</f>
        <v>nerd memes</v>
      </c>
      <c r="D159" t="s">
        <v>66</v>
      </c>
    </row>
    <row r="160" spans="1:5" x14ac:dyDescent="0.2">
      <c r="A160" t="str">
        <f>HYPERLINK("http://sickjunk.com/wp-content/uploads", "http://sickjunk.com/wp-content/uploads")</f>
        <v>http://sickjunk.com/wp-content/uploads</v>
      </c>
      <c r="B160" t="s">
        <v>5</v>
      </c>
      <c r="C160" t="str">
        <f>HYPERLINK("https://www.reddit.com/r/opendirectories/comments/j3xnni", "Search Help")</f>
        <v>Search Help</v>
      </c>
      <c r="D160" t="s">
        <v>735</v>
      </c>
    </row>
    <row r="161" spans="1:5" x14ac:dyDescent="0.2">
      <c r="A161" t="str">
        <f>HYPERLINK("https://www.homesnacks.net/images", "https://www.homesnacks.net/images")</f>
        <v>https://www.homesnacks.net/images</v>
      </c>
      <c r="B161" t="s">
        <v>5</v>
      </c>
      <c r="C161" t="str">
        <f>HYPERLINK("https://www.reddit.com/r/opendirectories/comments/j3hcll", "Hometown pictures from all 50 states")</f>
        <v>Hometown pictures from all 50 states</v>
      </c>
      <c r="D161" t="s">
        <v>736</v>
      </c>
    </row>
    <row r="162" spans="1:5" x14ac:dyDescent="0.2">
      <c r="A162" t="str">
        <f>HYPERLINK("https://www.italianfoodforever.com/images", "https://www.italianfoodforever.com/images")</f>
        <v>https://www.italianfoodforever.com/images</v>
      </c>
      <c r="B162" t="s">
        <v>5</v>
      </c>
      <c r="C162" t="str">
        <f>HYPERLINK("https://www.reddit.com/r/opendirectories/comments/j2jjjv", "pictures of Italian food.")</f>
        <v>pictures of Italian food.</v>
      </c>
      <c r="D162" t="s">
        <v>737</v>
      </c>
      <c r="E162" t="s">
        <v>184</v>
      </c>
    </row>
    <row r="163" spans="1:5" x14ac:dyDescent="0.2">
      <c r="A163" t="str">
        <f>HYPERLINK("https://www.livestockexpo.org/images", "https://www.livestockexpo.org/images")</f>
        <v>https://www.livestockexpo.org/images</v>
      </c>
      <c r="B163" t="s">
        <v>5</v>
      </c>
      <c r="C163" t="str">
        <f>HYPERLINK("https://www.reddit.com/r/opendirectories/comments/j0ogdw", "pictures of goats")</f>
        <v>pictures of goats</v>
      </c>
      <c r="D163" t="s">
        <v>67</v>
      </c>
    </row>
    <row r="164" spans="1:5" x14ac:dyDescent="0.2">
      <c r="A164" t="str">
        <f>HYPERLINK("http://ichigo69.mayulive.com/manga", "http://ichigo69.mayulive.com/manga")</f>
        <v>http://ichigo69.mayulive.com/manga</v>
      </c>
      <c r="B164" t="s">
        <v>5</v>
      </c>
      <c r="C164" t="str">
        <f>HYPERLINK("https://www.reddit.com/r/opendirectories/comments/hjnzdo", "index of anime picture books")</f>
        <v>index of anime picture books</v>
      </c>
      <c r="D164" t="s">
        <v>81</v>
      </c>
    </row>
    <row r="165" spans="1:5" x14ac:dyDescent="0.2">
      <c r="A165" t="str">
        <f>HYPERLINK("http://users.telenet.be/mega", "http://users.telenet.be/mega")</f>
        <v>http://users.telenet.be/mega</v>
      </c>
      <c r="B165" t="s">
        <v>5</v>
      </c>
      <c r="C165" t="str">
        <f>HYPERLINK("https://www.reddit.com/r/opendirectories/comments/iexya4", "weird and shady [NSFW]")</f>
        <v>weird and shady [NSFW]</v>
      </c>
      <c r="D165" t="s">
        <v>71</v>
      </c>
    </row>
    <row r="166" spans="1:5" x14ac:dyDescent="0.2">
      <c r="A166" t="str">
        <f>HYPERLINK("http://rtellason.com/manuals", "http://rtellason.com/manuals")</f>
        <v>http://rtellason.com/manuals</v>
      </c>
      <c r="B166" t="s">
        <v>5</v>
      </c>
      <c r="C166" t="str">
        <f>HYPERLINK("https://www.reddit.com/r/opendirectories/comments/idmfd1", "Computer Hardware, Printers, Schematics Manuals and More")</f>
        <v>Computer Hardware, Printers, Schematics Manuals and More</v>
      </c>
      <c r="D166" t="s">
        <v>72</v>
      </c>
    </row>
    <row r="167" spans="1:5" x14ac:dyDescent="0.2">
      <c r="A167" t="str">
        <f>HYPERLINK("http://web.ncf.ca/da229/smallengine", "http://web.ncf.ca/da229/smallengine")</f>
        <v>http://web.ncf.ca/da229/smallengine</v>
      </c>
      <c r="B167" t="s">
        <v>5</v>
      </c>
      <c r="C167" t="str">
        <f>HYPERLINK("https://www.reddit.com/r/opendirectories/comments/idm9zz", "More Small Engine / Law and Garden Manuals")</f>
        <v>More Small Engine / Law and Garden Manuals</v>
      </c>
      <c r="D167" t="s">
        <v>72</v>
      </c>
    </row>
    <row r="168" spans="1:5" x14ac:dyDescent="0.2">
      <c r="A168" t="str">
        <f>HYPERLINK("http://www.lynchjim.com/Pdf", "http://www.lynchjim.com/Pdf")</f>
        <v>http://www.lynchjim.com/Pdf</v>
      </c>
      <c r="B168" t="s">
        <v>5</v>
      </c>
      <c r="C168" t="str">
        <f>HYPERLINK("https://www.reddit.com/r/opendirectories/comments/hgljzc", "An interesting little site being hosted out of a boomer's living room...")</f>
        <v>An interesting little site being hosted out of a boomer's living room...</v>
      </c>
      <c r="D168" t="s">
        <v>82</v>
      </c>
    </row>
    <row r="169" spans="1:5" x14ac:dyDescent="0.2">
      <c r="A169" t="str">
        <f>HYPERLINK("https://mcofficer.me/wallpapers", "https://mcofficer.me/wallpapers")</f>
        <v>https://mcofficer.me/wallpapers</v>
      </c>
      <c r="B169" t="s">
        <v>5</v>
      </c>
      <c r="D169" t="s">
        <v>401</v>
      </c>
    </row>
    <row r="170" spans="1:5" x14ac:dyDescent="0.2">
      <c r="A170" t="str">
        <f>HYPERLINK("http://107.203.67.125", "http://107.203.67.125")</f>
        <v>http://107.203.67.125</v>
      </c>
      <c r="B170" t="s">
        <v>5</v>
      </c>
      <c r="C170" t="str">
        <f>HYPERLINK("https://www.reddit.com/r/opendirectories/comments/iaq7wx", "pictures of shoes")</f>
        <v>pictures of shoes</v>
      </c>
      <c r="D170" t="s">
        <v>480</v>
      </c>
    </row>
    <row r="171" spans="1:5" x14ac:dyDescent="0.2">
      <c r="A171" t="str">
        <f>HYPERLINK("https://archives.eyrie.org", "https://archives.eyrie.org")</f>
        <v>https://archives.eyrie.org</v>
      </c>
      <c r="B171" t="s">
        <v>5</v>
      </c>
      <c r="C171" t="str">
        <f>HYPERLINK("https://www.reddit.com/r/opendirectories/comments/dzq53d", "Evangelion Fanfic (Not NSFW but weird as fuck, if you know evangelion)")</f>
        <v>Evangelion Fanfic (Not NSFW but weird as fuck, if you know evangelion)</v>
      </c>
      <c r="D171" t="s">
        <v>105</v>
      </c>
    </row>
    <row r="172" spans="1:5" x14ac:dyDescent="0.2">
      <c r="A172" t="str">
        <f>HYPERLINK("http://ranma.hostalhost.com/manga", "http://ranma.hostalhost.com/manga")</f>
        <v>http://ranma.hostalhost.com/manga</v>
      </c>
      <c r="B172" t="s">
        <v>5</v>
      </c>
      <c r="C172" t="str">
        <f>HYPERLINK("https://www.reddit.com/r/opendirectories/comments/ia89ik", "Japanese comicbooks")</f>
        <v>Japanese comicbooks</v>
      </c>
      <c r="D172" t="s">
        <v>385</v>
      </c>
      <c r="E172" t="s">
        <v>63</v>
      </c>
    </row>
    <row r="173" spans="1:5" x14ac:dyDescent="0.2">
      <c r="A173" t="str">
        <f>HYPERLINK("https://bekar.virtual.net.au/images", "https://bekar.virtual.net.au/images")</f>
        <v>https://bekar.virtual.net.au/images</v>
      </c>
      <c r="B173" t="s">
        <v>5</v>
      </c>
      <c r="C173" t="str">
        <f>HYPERLINK("https://www.reddit.com/r/opendirectories/comments/ia838w", "index of anime pictures")</f>
        <v>index of anime pictures</v>
      </c>
      <c r="D173" t="s">
        <v>385</v>
      </c>
    </row>
    <row r="174" spans="1:5" x14ac:dyDescent="0.2">
      <c r="A174" t="str">
        <f>HYPERLINK("http://polonews.tw/wp-content/uploads", "http://polonews.tw/wp-content/uploads")</f>
        <v>http://polonews.tw/wp-content/uploads</v>
      </c>
      <c r="B174" t="s">
        <v>5</v>
      </c>
      <c r="C174" t="str">
        <f>HYPERLINK("https://www.reddit.com/r/opendirectories/comments/i34i8n", "[NSFW] Photos of Asian Models/Porn")</f>
        <v>[NSFW] Photos of Asian Models/Porn</v>
      </c>
      <c r="D174" t="s">
        <v>449</v>
      </c>
    </row>
    <row r="175" spans="1:5" x14ac:dyDescent="0.2">
      <c r="A175" t="str">
        <f>HYPERLINK("https://www.idoldouganew.com/wp-content/uploads", "https://www.idoldouganew.com/wp-content/uploads")</f>
        <v>https://www.idoldouganew.com/wp-content/uploads</v>
      </c>
      <c r="B175" t="s">
        <v>5</v>
      </c>
      <c r="C175" t="str">
        <f>HYPERLINK("https://www.reddit.com/r/opendirectories/comments/i34i8n", "[NSFW] Photos of Asian Models/Porn")</f>
        <v>[NSFW] Photos of Asian Models/Porn</v>
      </c>
      <c r="D175" t="s">
        <v>449</v>
      </c>
    </row>
    <row r="176" spans="1:5" x14ac:dyDescent="0.2">
      <c r="A176" t="str">
        <f>HYPERLINK("https://javopen.co/wp-content/uploads", "https://javopen.co/wp-content/uploads")</f>
        <v>https://javopen.co/wp-content/uploads</v>
      </c>
      <c r="B176" t="s">
        <v>5</v>
      </c>
      <c r="C176" t="str">
        <f>HYPERLINK("https://www.reddit.com/r/opendirectories/comments/i34i8n", "[NSFW] Photos of Asian Models/Porn")</f>
        <v>[NSFW] Photos of Asian Models/Porn</v>
      </c>
      <c r="D176" t="s">
        <v>449</v>
      </c>
    </row>
    <row r="177" spans="1:4" x14ac:dyDescent="0.2">
      <c r="A177" t="str">
        <f>HYPERLINK("http://www.akb48wup.com/wp-content/uploads", "http://www.akb48wup.com/wp-content/uploads")</f>
        <v>http://www.akb48wup.com/wp-content/uploads</v>
      </c>
      <c r="B177" t="s">
        <v>5</v>
      </c>
      <c r="C177" t="str">
        <f>HYPERLINK("https://www.reddit.com/r/opendirectories/comments/i34i8n", "[NSFW] Photos of Asian Models/Porn")</f>
        <v>[NSFW] Photos of Asian Models/Porn</v>
      </c>
      <c r="D177" t="s">
        <v>449</v>
      </c>
    </row>
    <row r="178" spans="1:4" x14ac:dyDescent="0.2">
      <c r="A178" t="str">
        <f>HYPERLINK("http://www.paul.com.au/Fish", "http://www.paul.com.au/Fish")</f>
        <v>http://www.paul.com.au/Fish</v>
      </c>
      <c r="B178" t="s">
        <v>5</v>
      </c>
      <c r="C178" t="str">
        <f>HYPERLINK("https://www.reddit.com/r/opendirectories/comments/hva5lc", "pictures of fish")</f>
        <v>pictures of fish</v>
      </c>
      <c r="D178" t="s">
        <v>483</v>
      </c>
    </row>
    <row r="179" spans="1:4" x14ac:dyDescent="0.2">
      <c r="A179" t="str">
        <f>HYPERLINK("http://brentmydland.net/jer", "http://brentmydland.net/jer")</f>
        <v>http://brentmydland.net/jer</v>
      </c>
      <c r="B179" t="s">
        <v>5</v>
      </c>
      <c r="C179" t="str">
        <f>HYPERLINK("https://www.reddit.com/r/opendirectories/comments/hv7ml5", "Grateful Dead pictures from early until late (1966--1995)")</f>
        <v>Grateful Dead pictures from early until late (1966--1995)</v>
      </c>
      <c r="D179" t="s">
        <v>483</v>
      </c>
    </row>
    <row r="180" spans="1:4" x14ac:dyDescent="0.2">
      <c r="A180" t="str">
        <f>HYPERLINK("http://www.eduo.info/wp-content/uploads", "http://www.eduo.info/wp-content/uploads")</f>
        <v>http://www.eduo.info/wp-content/uploads</v>
      </c>
      <c r="B180" t="s">
        <v>5</v>
      </c>
      <c r="C180" t="str">
        <f>HYPERLINK("https://www.reddit.com/r/opendirectories/comments/hq6hda", "Watchmen Comics 1-12")</f>
        <v>Watchmen Comics 1-12</v>
      </c>
      <c r="D180" t="s">
        <v>485</v>
      </c>
    </row>
    <row r="181" spans="1:4" x14ac:dyDescent="0.2">
      <c r="A181" t="str">
        <f>HYPERLINK("https://www.tokyokinky.com/blog/wp-content/uploads", "https://www.tokyokinky.com/blog/wp-content/uploads")</f>
        <v>https://www.tokyokinky.com/blog/wp-content/uploads</v>
      </c>
      <c r="B181" t="s">
        <v>5</v>
      </c>
      <c r="C181" t="str">
        <f>HYPERLINK("https://www.reddit.com/r/opendirectories/comments/hq5906", "NSFW - Index of site tokyokinky.com")</f>
        <v>NSFW - Index of site tokyokinky.com</v>
      </c>
      <c r="D181" t="s">
        <v>485</v>
      </c>
    </row>
    <row r="182" spans="1:4" x14ac:dyDescent="0.2">
      <c r="A182" t="str">
        <f>HYPERLINK("https://dennybusyet.com/wp-content/uploads", "https://dennybusyet.com/wp-content/uploads")</f>
        <v>https://dennybusyet.com/wp-content/uploads</v>
      </c>
      <c r="B182" t="s">
        <v>5</v>
      </c>
      <c r="C182" t="str">
        <f>HYPERLINK("https://www.reddit.com/r/opendirectories/comments/hoovz4", "synthwave/vaporwave style art pictures")</f>
        <v>synthwave/vaporwave style art pictures</v>
      </c>
      <c r="D182" t="s">
        <v>738</v>
      </c>
    </row>
    <row r="183" spans="1:4" x14ac:dyDescent="0.2">
      <c r="A183" t="str">
        <f>HYPERLINK("http://lolibu.net/wp-content/uploads", "http://lolibu.net/wp-content/uploads")</f>
        <v>http://lolibu.net/wp-content/uploads</v>
      </c>
      <c r="B183" t="s">
        <v>5</v>
      </c>
      <c r="C183" t="str">
        <f>HYPERLINK("https://www.reddit.com/r/opendirectories/comments/hbzjod", "Some Asian pictures")</f>
        <v>Some Asian pictures</v>
      </c>
      <c r="D183" t="s">
        <v>739</v>
      </c>
    </row>
    <row r="184" spans="1:4" x14ac:dyDescent="0.2">
      <c r="A184" t="str">
        <f>HYPERLINK("https://ghostcitytours.com/images", "https://ghostcitytours.com/images")</f>
        <v>https://ghostcitytours.com/images</v>
      </c>
      <c r="B184" t="s">
        <v>5</v>
      </c>
      <c r="C184" t="str">
        <f>HYPERLINK("https://www.reddit.com/r/opendirectories/comments/gvm5er", "Haunted Houses and Cemeteries Images. [Ghost Tours]")</f>
        <v>Haunted Houses and Cemeteries Images. [Ghost Tours]</v>
      </c>
      <c r="D184" t="s">
        <v>740</v>
      </c>
    </row>
    <row r="185" spans="1:4" x14ac:dyDescent="0.2">
      <c r="A185" t="str">
        <f>HYPERLINK("https://artserotica.com/wp-content/uploads", "https://artserotica.com/wp-content/uploads")</f>
        <v>https://artserotica.com/wp-content/uploads</v>
      </c>
      <c r="B185" t="s">
        <v>5</v>
      </c>
      <c r="C185" t="str">
        <f t="shared" ref="C185:C190" si="5">HYPERLINK("https://www.reddit.com/r/opendirectories/comments/gquuut", "[NSFW] 10x Porn directories")</f>
        <v>[NSFW] 10x Porn directories</v>
      </c>
      <c r="D185" t="s">
        <v>85</v>
      </c>
    </row>
    <row r="186" spans="1:4" x14ac:dyDescent="0.2">
      <c r="A186" t="str">
        <f>HYPERLINK("http://hotpornpics.club/wp-content/uploads", "http://hotpornpics.club/wp-content/uploads")</f>
        <v>http://hotpornpics.club/wp-content/uploads</v>
      </c>
      <c r="B186" t="s">
        <v>5</v>
      </c>
      <c r="C186" t="str">
        <f t="shared" si="5"/>
        <v>[NSFW] 10x Porn directories</v>
      </c>
      <c r="D186" t="s">
        <v>85</v>
      </c>
    </row>
    <row r="187" spans="1:4" x14ac:dyDescent="0.2">
      <c r="A187" t="str">
        <f>HYPERLINK("http://www.pornosexgif.org/wp-content/uploads", "http://www.pornosexgif.org/wp-content/uploads")</f>
        <v>http://www.pornosexgif.org/wp-content/uploads</v>
      </c>
      <c r="B187" t="s">
        <v>5</v>
      </c>
      <c r="C187" t="str">
        <f t="shared" si="5"/>
        <v>[NSFW] 10x Porn directories</v>
      </c>
      <c r="D187" t="s">
        <v>85</v>
      </c>
    </row>
    <row r="188" spans="1:4" x14ac:dyDescent="0.2">
      <c r="A188" t="str">
        <f>HYPERLINK("http://www.young-couples.com/wp-content/uploads", "http://www.young-couples.com/wp-content/uploads")</f>
        <v>http://www.young-couples.com/wp-content/uploads</v>
      </c>
      <c r="B188" t="s">
        <v>5</v>
      </c>
      <c r="C188" t="str">
        <f t="shared" si="5"/>
        <v>[NSFW] 10x Porn directories</v>
      </c>
      <c r="D188" t="s">
        <v>85</v>
      </c>
    </row>
    <row r="189" spans="1:4" x14ac:dyDescent="0.2">
      <c r="A189" t="str">
        <f>HYPERLINK("https://thecamdude.com/wp-content/uploads", "https://thecamdude.com/wp-content/uploads")</f>
        <v>https://thecamdude.com/wp-content/uploads</v>
      </c>
      <c r="B189" t="s">
        <v>5</v>
      </c>
      <c r="C189" t="str">
        <f t="shared" si="5"/>
        <v>[NSFW] 10x Porn directories</v>
      </c>
      <c r="D189" t="s">
        <v>85</v>
      </c>
    </row>
    <row r="190" spans="1:4" x14ac:dyDescent="0.2">
      <c r="A190" t="str">
        <f>HYPERLINK("https://www.freshnudes.net/wp-content/uploads", "https://www.freshnudes.net/wp-content/uploads")</f>
        <v>https://www.freshnudes.net/wp-content/uploads</v>
      </c>
      <c r="B190" t="s">
        <v>5</v>
      </c>
      <c r="C190" t="str">
        <f t="shared" si="5"/>
        <v>[NSFW] 10x Porn directories</v>
      </c>
      <c r="D190" t="s">
        <v>85</v>
      </c>
    </row>
    <row r="191" spans="1:4" x14ac:dyDescent="0.2">
      <c r="A191" t="str">
        <f>HYPERLINK("https://amplereads.com/uploads", "https://amplereads.com/uploads")</f>
        <v>https://amplereads.com/uploads</v>
      </c>
      <c r="B191" t="s">
        <v>5</v>
      </c>
      <c r="C191" t="str">
        <f>HYPERLINK("https://www.reddit.com/r/opendirectories/comments/g912h5", "fiction e-books with their cover (amplereads.com)")</f>
        <v>fiction e-books with their cover (amplereads.com)</v>
      </c>
      <c r="D191" t="s">
        <v>87</v>
      </c>
    </row>
    <row r="192" spans="1:4" x14ac:dyDescent="0.2">
      <c r="A192" t="str">
        <f>HYPERLINK("http://down.80vps.com", "http://down.80vps.com")</f>
        <v>http://down.80vps.com</v>
      </c>
      <c r="B192" t="s">
        <v>5</v>
      </c>
      <c r="C192" t="str">
        <f>HYPERLINK("https://www.reddit.com/r/opendirectories/comments/g78s23", "Miscellaneous Windows, Linux and Tools ISOs")</f>
        <v>Miscellaneous Windows, Linux and Tools ISOs</v>
      </c>
      <c r="D192" t="s">
        <v>741</v>
      </c>
    </row>
    <row r="193" spans="1:5" x14ac:dyDescent="0.2">
      <c r="A193" t="str">
        <f>HYPERLINK("http://ftp.pigwa.net", "http://ftp.pigwa.net")</f>
        <v>http://ftp.pigwa.net</v>
      </c>
      <c r="B193" t="s">
        <v>5</v>
      </c>
      <c r="C193" t="str">
        <f>HYPERLINK("https://www.reddit.com/r/opendirectories/comments/aeymqt", "845GB Archive of Atari/8bit Demoscene material (party folders, videos, actual demo files, emulators etc)")</f>
        <v>845GB Archive of Atari/8bit Demoscene material (party folders, videos, actual demo files, emulators etc)</v>
      </c>
      <c r="D193" t="s">
        <v>317</v>
      </c>
    </row>
    <row r="194" spans="1:5" x14ac:dyDescent="0.2">
      <c r="A194" t="str">
        <f>HYPERLINK("http://malus.exotica.org.uk/~buzz", "http://malus.exotica.org.uk/~buzz")</f>
        <v>http://malus.exotica.org.uk/~buzz</v>
      </c>
      <c r="B194" t="s">
        <v>5</v>
      </c>
      <c r="C194" t="str">
        <f>HYPERLINK("https://www.reddit.com/r/opendirectories/comments/f9s434", "Byte Magazine old issues in PDF from 1975 till 1986 (and some others from later years). High rez scans.")</f>
        <v>Byte Magazine old issues in PDF from 1975 till 1986 (and some others from later years). High rez scans.</v>
      </c>
      <c r="D194" t="s">
        <v>603</v>
      </c>
    </row>
    <row r="195" spans="1:5" x14ac:dyDescent="0.2">
      <c r="A195" t="str">
        <f>HYPERLINK("http://5.135.162.62", "http://5.135.162.62")</f>
        <v>http://5.135.162.62</v>
      </c>
      <c r="B195" t="s">
        <v>5</v>
      </c>
      <c r="C195" t="str">
        <f>HYPERLINK("https://www.reddit.com/r/opendirectories/comments/bi7hi3", "sunday funday with moving images #💯")</f>
        <v>sunday funday with moving images #💯</v>
      </c>
      <c r="D195" t="s">
        <v>132</v>
      </c>
    </row>
    <row r="196" spans="1:5" x14ac:dyDescent="0.2">
      <c r="A196" t="str">
        <f>HYPERLINK("https://doc.downloadha.com", "https://doc.downloadha.com")</f>
        <v>https://doc.downloadha.com</v>
      </c>
      <c r="B196" t="s">
        <v>5</v>
      </c>
      <c r="C196" t="str">
        <f>HYPERLINK("https://www.reddit.com/r/opendirectories/comments/d5e6ka", "Lots of Documentaries, BBC, Nature, MvGroup etc.")</f>
        <v>Lots of Documentaries, BBC, Nature, MvGroup etc.</v>
      </c>
      <c r="D196" t="s">
        <v>407</v>
      </c>
    </row>
    <row r="197" spans="1:5" x14ac:dyDescent="0.2">
      <c r="A197" t="str">
        <f>HYPERLINK("http://www.anorak.co.uk/wp-content/gallery", "http://www.anorak.co.uk/wp-content/gallery")</f>
        <v>http://www.anorak.co.uk/wp-content/gallery</v>
      </c>
      <c r="B197" t="s">
        <v>5</v>
      </c>
      <c r="C197" t="str">
        <f>HYPERLINK("https://www.reddit.com/r/opendirectories/comments/dk0njj", "Enterainment/news site phtoto index by article name (Some nsfw)")</f>
        <v>Enterainment/news site phtoto index by article name (Some nsfw)</v>
      </c>
      <c r="D197" t="s">
        <v>114</v>
      </c>
    </row>
    <row r="198" spans="1:5" x14ac:dyDescent="0.2">
      <c r="A198" t="str">
        <f>HYPERLINK("https://moviegram.com.ua/wp-content/uploads", "https://moviegram.com.ua/wp-content/uploads")</f>
        <v>https://moviegram.com.ua/wp-content/uploads</v>
      </c>
      <c r="B198" t="s">
        <v>5</v>
      </c>
      <c r="C198" t="str">
        <f>HYPERLINK("https://www.reddit.com/r/opendirectories/comments/eydjvx", "Movie Posters &amp;amp; Stills")</f>
        <v>Movie Posters &amp;amp; Stills</v>
      </c>
      <c r="D198" t="s">
        <v>96</v>
      </c>
    </row>
    <row r="199" spans="1:5" x14ac:dyDescent="0.2">
      <c r="A199" t="str">
        <f>HYPERLINK("http://fhg.camdough.com/x1", "http://fhg.camdough.com/x1")</f>
        <v>http://fhg.camdough.com/x1</v>
      </c>
      <c r="B199" t="s">
        <v>5</v>
      </c>
      <c r="C199" t="str">
        <f>HYPERLINK("https://www.reddit.com/r/opendirectories/comments/ew8bzv", "&amp;lt;NSFW&amp;gt; ASIAN WEBCAM SITE left their pictures out in the open (directory)")</f>
        <v>&amp;lt;NSFW&amp;gt; ASIAN WEBCAM SITE left their pictures out in the open (directory)</v>
      </c>
      <c r="D199" t="s">
        <v>742</v>
      </c>
    </row>
    <row r="200" spans="1:5" x14ac:dyDescent="0.2">
      <c r="A200" t="str">
        <f>HYPERLINK("http://ftp.sunet.se", "http://ftp.sunet.se")</f>
        <v>http://ftp.sunet.se</v>
      </c>
      <c r="B200" t="s">
        <v>5</v>
      </c>
      <c r="C200" t="str">
        <f>HYPERLINK("https://www.reddit.com/r/opendirectories/comments/eqm9je", "Thousands and thousands of files of all types and sizes. Many from the early days of the Internet.")</f>
        <v>Thousands and thousands of files of all types and sizes. Many from the early days of the Internet.</v>
      </c>
      <c r="D200" t="s">
        <v>322</v>
      </c>
    </row>
    <row r="201" spans="1:5" x14ac:dyDescent="0.2">
      <c r="A201" t="str">
        <f>HYPERLINK("http://s91291220.onlinehome.us/formica", "http://s91291220.onlinehome.us/formica")</f>
        <v>http://s91291220.onlinehome.us/formica</v>
      </c>
      <c r="B201" t="s">
        <v>5</v>
      </c>
      <c r="C201" t="str">
        <f>HYPERLINK("https://www.reddit.com/r/opendirectories/comments/elk41g", "Bunch of images and stuff")</f>
        <v>Bunch of images and stuff</v>
      </c>
      <c r="D201" t="s">
        <v>743</v>
      </c>
    </row>
    <row r="202" spans="1:5" x14ac:dyDescent="0.2">
      <c r="A202" t="str">
        <f>HYPERLINK("http://www.foundphotos.net/images", "http://www.foundphotos.net/images")</f>
        <v>http://www.foundphotos.net/images</v>
      </c>
      <c r="B202" t="s">
        <v>5</v>
      </c>
      <c r="C202" t="str">
        <f>HYPERLINK("https://www.reddit.com/r/opendirectories/comments/eil1hk", "Foundphotos.net , a site dedicated to open image directories with random photos. Hi-La-Ri-ously Random.")</f>
        <v>Foundphotos.net , a site dedicated to open image directories with random photos. Hi-La-Ri-ously Random.</v>
      </c>
      <c r="D202" t="s">
        <v>610</v>
      </c>
    </row>
    <row r="203" spans="1:5" x14ac:dyDescent="0.2">
      <c r="A203" t="str">
        <f>HYPERLINK("https://imagemagick.org/Usage", "https://imagemagick.org/Usage")</f>
        <v>https://imagemagick.org/Usage</v>
      </c>
      <c r="B203" t="s">
        <v>5</v>
      </c>
      <c r="C203" t="str">
        <f>HYPERLINK("https://www.reddit.com/r/opendirectories/comments/e5iq6y", "Apparently, images meant for demonstration purposes with the imagemagick suite")</f>
        <v>Apparently, images meant for demonstration purposes with the imagemagick suite</v>
      </c>
      <c r="D203" t="s">
        <v>102</v>
      </c>
    </row>
    <row r="204" spans="1:5" x14ac:dyDescent="0.2">
      <c r="A204" t="str">
        <f>HYPERLINK("https://tocka.com.mk/images", "https://tocka.com.mk/images")</f>
        <v>https://tocka.com.mk/images</v>
      </c>
      <c r="B204" t="s">
        <v>5</v>
      </c>
      <c r="C204" t="str">
        <f>HYPERLINK("https://www.reddit.com/r/opendirectories/comments/e2gldh", "So many random images. No organization. Peeked a few NSFW.")</f>
        <v>So many random images. No organization. Peeked a few NSFW.</v>
      </c>
      <c r="D204" t="s">
        <v>744</v>
      </c>
    </row>
    <row r="205" spans="1:5" x14ac:dyDescent="0.2">
      <c r="A205" t="str">
        <f>HYPERLINK("http://strezhi.ru/temp", "http://strezhi.ru/temp")</f>
        <v>http://strezhi.ru/temp</v>
      </c>
      <c r="B205" t="s">
        <v>5</v>
      </c>
      <c r="C205" t="str">
        <f>HYPERLINK("https://www.reddit.com/r/opendirectories/comments/e1cead", "Directory of russian website containing High quality Photos of russian women and also some stock photos")</f>
        <v>Directory of russian website containing High quality Photos of russian women and also some stock photos</v>
      </c>
      <c r="D205" t="s">
        <v>104</v>
      </c>
      <c r="E205" t="s">
        <v>8</v>
      </c>
    </row>
    <row r="206" spans="1:5" x14ac:dyDescent="0.2">
      <c r="A206" t="str">
        <f>HYPERLINK("http://www.pecatuindahresort.com/userdata", "http://www.pecatuindahresort.com/userdata")</f>
        <v>http://www.pecatuindahresort.com/userdata</v>
      </c>
      <c r="B206" t="s">
        <v>5</v>
      </c>
      <c r="C206" t="str">
        <f>HYPERLINK("https://www.reddit.com/r/opendirectories/comments/e1cce7", "Unprotected direcotry relating to a vacatrion resort. Mostly pictures.")</f>
        <v>Unprotected direcotry relating to a vacatrion resort. Mostly pictures.</v>
      </c>
      <c r="D206" t="s">
        <v>104</v>
      </c>
    </row>
    <row r="207" spans="1:5" x14ac:dyDescent="0.2">
      <c r="A207" t="str">
        <f>HYPERLINK("http://wallpaper.derekbodner.com/wallpaper", "http://wallpaper.derekbodner.com/wallpaper")</f>
        <v>http://wallpaper.derekbodner.com/wallpaper</v>
      </c>
      <c r="B207" t="s">
        <v>5</v>
      </c>
      <c r="C207" t="str">
        <f>HYPERLINK("https://www.reddit.com/r/opendirectories/comments/e1c9xf", "Collection of various desktop wallpapers sorted by theme")</f>
        <v>Collection of various desktop wallpapers sorted by theme</v>
      </c>
      <c r="D207" t="s">
        <v>104</v>
      </c>
    </row>
    <row r="208" spans="1:5" x14ac:dyDescent="0.2">
      <c r="A208" t="str">
        <f>HYPERLINK("http://cs.haifa.ac.il/~hagit/pub", "http://cs.haifa.ac.il/~hagit/pub")</f>
        <v>http://cs.haifa.ac.il/~hagit/pub</v>
      </c>
      <c r="B208" t="s">
        <v>5</v>
      </c>
      <c r="C208" t="str">
        <f>HYPERLINK("https://www.reddit.com/r/opendirectories/comments/e1c9p4", "A large expansive directory of a primary school's materials and group photos")</f>
        <v>A large expansive directory of a primary school's materials and group photos</v>
      </c>
      <c r="D208" t="s">
        <v>104</v>
      </c>
    </row>
    <row r="209" spans="1:4" x14ac:dyDescent="0.2">
      <c r="A209" t="str">
        <f>HYPERLINK("http://striker.interhact.net", "http://striker.interhact.net")</f>
        <v>http://striker.interhact.net</v>
      </c>
      <c r="B209" t="s">
        <v>5</v>
      </c>
      <c r="C209" t="str">
        <f>HYPERLINK("https://www.reddit.com/r/opendirectories/comments/dd2q93", "various computer and some random related images")</f>
        <v>various computer and some random related images</v>
      </c>
      <c r="D209" t="s">
        <v>118</v>
      </c>
    </row>
    <row r="210" spans="1:4" x14ac:dyDescent="0.2">
      <c r="A210" t="str">
        <f>HYPERLINK("http://cs.gettysburg.edu/~duncjo01", "http://cs.gettysburg.edu/~duncjo01")</f>
        <v>http://cs.gettysburg.edu/~duncjo01</v>
      </c>
      <c r="B210" t="s">
        <v>5</v>
      </c>
      <c r="C210" t="str">
        <f>HYPERLINK("https://www.reddit.com/r/opendirectories/comments/dzpzps", "Retro Windows (3-XP) Wallpapers and tiling patterns")</f>
        <v>Retro Windows (3-XP) Wallpapers and tiling patterns</v>
      </c>
      <c r="D210" t="s">
        <v>105</v>
      </c>
    </row>
    <row r="211" spans="1:4" x14ac:dyDescent="0.2">
      <c r="A211" t="str">
        <f>HYPERLINK("http://users.vermontel.net/~cshorey", "http://users.vermontel.net/~cshorey")</f>
        <v>http://users.vermontel.net/~cshorey</v>
      </c>
      <c r="B211" t="s">
        <v>5</v>
      </c>
      <c r="C211" t="str">
        <f>HYPERLINK("https://www.reddit.com/r/opendirectories/comments/dytfvk", "Roms, Applications, artwork that isnt very good, etc")</f>
        <v>Roms, Applications, artwork that isnt very good, etc</v>
      </c>
      <c r="D211" t="s">
        <v>685</v>
      </c>
    </row>
    <row r="212" spans="1:4" x14ac:dyDescent="0.2">
      <c r="A212" t="str">
        <f>HYPERLINK("http://www.lpl.arizona.edu/~ingrid/pics", "http://www.lpl.arizona.edu/~ingrid/pics")</f>
        <v>http://www.lpl.arizona.edu/~ingrid/pics</v>
      </c>
      <c r="B212" t="s">
        <v>5</v>
      </c>
      <c r="C212" t="str">
        <f>HYPERLINK("https://www.reddit.com/r/opendirectories/comments/dk0nsd", "Someones hiking photos and random pics")</f>
        <v>Someones hiking photos and random pics</v>
      </c>
      <c r="D212" t="s">
        <v>114</v>
      </c>
    </row>
    <row r="213" spans="1:4" x14ac:dyDescent="0.2">
      <c r="A213" t="str">
        <f>HYPERLINK("https://www.bt-system.ru/photos", "https://www.bt-system.ru/photos")</f>
        <v>https://www.bt-system.ru/photos</v>
      </c>
      <c r="B213" t="s">
        <v>5</v>
      </c>
      <c r="C213" t="str">
        <f>HYPERLINK("https://www.reddit.com/r/opendirectories/comments/dja35a", "Images of power tools? I've got absolutely not a clue.")</f>
        <v>Images of power tools? I've got absolutely not a clue.</v>
      </c>
      <c r="D213" t="s">
        <v>745</v>
      </c>
    </row>
    <row r="214" spans="1:4" x14ac:dyDescent="0.2">
      <c r="A214" t="str">
        <f>HYPERLINK("http://www.progzilla.com/images", "http://www.progzilla.com/images")</f>
        <v>http://www.progzilla.com/images</v>
      </c>
      <c r="B214" t="s">
        <v>5</v>
      </c>
      <c r="C214" t="str">
        <f>HYPERLINK("https://www.reddit.com/r/opendirectories/comments/diq37v", "Memes and other Pics")</f>
        <v>Memes and other Pics</v>
      </c>
      <c r="D214" t="s">
        <v>704</v>
      </c>
    </row>
    <row r="215" spans="1:4" x14ac:dyDescent="0.2">
      <c r="A215" t="str">
        <f>HYPERLINK("http://photorecon.net/wp-content/gallery", "http://photorecon.net/wp-content/gallery")</f>
        <v>http://photorecon.net/wp-content/gallery</v>
      </c>
      <c r="B215" t="s">
        <v>5</v>
      </c>
      <c r="C215" t="str">
        <f>HYPERLINK("https://www.reddit.com/r/opendirectories/comments/dgwyle", "High quality photos of military and commerical jets! Great OD for kids or adults interested in jet airplanes.")</f>
        <v>High quality photos of military and commerical jets! Great OD for kids or adults interested in jet airplanes.</v>
      </c>
      <c r="D215" t="s">
        <v>115</v>
      </c>
    </row>
    <row r="216" spans="1:4" x14ac:dyDescent="0.2">
      <c r="A216" t="str">
        <f>HYPERLINK("https://wsr.imagej.net", "https://wsr.imagej.net")</f>
        <v>https://wsr.imagej.net</v>
      </c>
      <c r="B216" t="s">
        <v>5</v>
      </c>
      <c r="C216" t="str">
        <f>HYPERLINK("https://www.reddit.com/r/opendirectories/comments/de5c9h", "totally random images")</f>
        <v>totally random images</v>
      </c>
      <c r="D216" t="s">
        <v>327</v>
      </c>
    </row>
    <row r="217" spans="1:4" x14ac:dyDescent="0.2">
      <c r="A217" t="str">
        <f>HYPERLINK("http://www.c0op3r.com/images", "http://www.c0op3r.com/images")</f>
        <v>http://www.c0op3r.com/images</v>
      </c>
      <c r="B217" t="s">
        <v>5</v>
      </c>
      <c r="C217" t="str">
        <f>HYPERLINK("https://www.reddit.com/r/opendirectories/comments/de531x", "Amiga stuff")</f>
        <v>Amiga stuff</v>
      </c>
      <c r="D217" t="s">
        <v>327</v>
      </c>
    </row>
    <row r="218" spans="1:4" x14ac:dyDescent="0.2">
      <c r="A218" t="str">
        <f>HYPERLINK("http://worldofmenchi.fr/Amiga", "http://worldofmenchi.fr/Amiga")</f>
        <v>http://worldofmenchi.fr/Amiga</v>
      </c>
      <c r="B218" t="s">
        <v>5</v>
      </c>
      <c r="C218" t="str">
        <f>HYPERLINK("https://www.reddit.com/r/opendirectories/comments/de531x", "Amiga stuff")</f>
        <v>Amiga stuff</v>
      </c>
      <c r="D218" t="s">
        <v>327</v>
      </c>
    </row>
    <row r="219" spans="1:4" x14ac:dyDescent="0.2">
      <c r="A219" t="str">
        <f>HYPERLINK("http://tolkiengateway.net/w/images", "http://tolkiengateway.net/w/images")</f>
        <v>http://tolkiengateway.net/w/images</v>
      </c>
      <c r="B219" t="s">
        <v>5</v>
      </c>
      <c r="C219" t="str">
        <f>HYPERLINK("https://www.reddit.com/r/opendirectories/comments/de519f", "A trove of images related to JRR tolkien lore")</f>
        <v>A trove of images related to JRR tolkien lore</v>
      </c>
      <c r="D219" t="s">
        <v>327</v>
      </c>
    </row>
    <row r="220" spans="1:4" x14ac:dyDescent="0.2">
      <c r="A220" t="str">
        <f>HYPERLINK("https://ftp.sunet.se", "https://ftp.sunet.se")</f>
        <v>https://ftp.sunet.se</v>
      </c>
      <c r="B220" t="s">
        <v>5</v>
      </c>
      <c r="C220" t="str">
        <f>HYPERLINK("https://www.reddit.com/r/opendirectories/comments/ak1xka", "Swedish Umea University ACC Club Directory. Has files going back to 94, games, classic anime, books, etc.")</f>
        <v>Swedish Umea University ACC Club Directory. Has files going back to 94, games, classic anime, books, etc.</v>
      </c>
      <c r="D220" t="s">
        <v>414</v>
      </c>
    </row>
    <row r="221" spans="1:4" x14ac:dyDescent="0.2">
      <c r="A221" t="str">
        <f>HYPERLINK("http://c64disks.hvilket.net", "http://c64disks.hvilket.net")</f>
        <v>http://c64disks.hvilket.net</v>
      </c>
      <c r="B221" t="s">
        <v>5</v>
      </c>
      <c r="C221" t="str">
        <f>HYPERLINK("https://www.reddit.com/r/opendirectories/comments/dahf9h", "Commodore 64 disk images")</f>
        <v>Commodore 64 disk images</v>
      </c>
      <c r="D221" t="s">
        <v>686</v>
      </c>
    </row>
    <row r="222" spans="1:4" x14ac:dyDescent="0.2">
      <c r="A222" t="str">
        <f>HYPERLINK("http://jedi.org", "http://jedi.org")</f>
        <v>http://jedi.org</v>
      </c>
      <c r="B222" t="s">
        <v>5</v>
      </c>
      <c r="C222" t="str">
        <f>HYPERLINK("https://www.reddit.com/r/opendirectories/comments/d6ogyu", "[Pics mostly, some videos] Oldies but Goldies from 2005 era")</f>
        <v>[Pics mostly, some videos] Oldies but Goldies from 2005 era</v>
      </c>
      <c r="D222" t="s">
        <v>328</v>
      </c>
    </row>
    <row r="223" spans="1:4" x14ac:dyDescent="0.2">
      <c r="A223" t="str">
        <f>HYPERLINK("http://smpanthers.org/fshafai/files", "http://smpanthers.org/fshafai/files")</f>
        <v>http://smpanthers.org/fshafai/files</v>
      </c>
      <c r="B223" t="s">
        <v>5</v>
      </c>
      <c r="C223" t="str">
        <f>HYPERLINK("https://www.reddit.com/r/opendirectories/comments/d6ogyu", "[Pics mostly, some videos] Oldies but Goldies from 2005 era")</f>
        <v>[Pics mostly, some videos] Oldies but Goldies from 2005 era</v>
      </c>
      <c r="D223" t="s">
        <v>328</v>
      </c>
    </row>
    <row r="224" spans="1:4" x14ac:dyDescent="0.2">
      <c r="A224" t="str">
        <f>HYPERLINK("http://kunstadeltgeistingen.be/toneelstukken", "http://kunstadeltgeistingen.be/toneelstukken")</f>
        <v>http://kunstadeltgeistingen.be/toneelstukken</v>
      </c>
      <c r="B224" t="s">
        <v>5</v>
      </c>
      <c r="C224" t="str">
        <f>HYPERLINK("https://www.reddit.com/r/opendirectories/comments/d6ogyu", "[Pics mostly, some videos] Oldies but Goldies from 2005 era")</f>
        <v>[Pics mostly, some videos] Oldies but Goldies from 2005 era</v>
      </c>
      <c r="D224" t="s">
        <v>328</v>
      </c>
    </row>
    <row r="225" spans="1:4" x14ac:dyDescent="0.2">
      <c r="A225" t="str">
        <f>HYPERLINK("http://lycostu.lycoming.edu/orgs/ast", "http://lycostu.lycoming.edu/orgs/ast")</f>
        <v>http://lycostu.lycoming.edu/orgs/ast</v>
      </c>
      <c r="B225" t="s">
        <v>5</v>
      </c>
      <c r="C225" t="str">
        <f>HYPERLINK("https://www.reddit.com/r/opendirectories/comments/d55yry", "Lycoming college weird collections of pics of random girls/students directory")</f>
        <v>Lycoming college weird collections of pics of random girls/students directory</v>
      </c>
      <c r="D225" t="s">
        <v>120</v>
      </c>
    </row>
    <row r="226" spans="1:4" x14ac:dyDescent="0.2">
      <c r="A226" t="str">
        <f>HYPERLINK("https://www.theoldehouse.co.uk/wp-content/uploads", "https://www.theoldehouse.co.uk/wp-content/uploads")</f>
        <v>https://www.theoldehouse.co.uk/wp-content/uploads</v>
      </c>
      <c r="B226" t="s">
        <v>5</v>
      </c>
      <c r="C226" t="str">
        <f>HYPERLINK("https://www.reddit.com/r/opendirectories/comments/ctlfxj", "Pictures of goats")</f>
        <v>Pictures of goats</v>
      </c>
      <c r="D226" t="s">
        <v>746</v>
      </c>
    </row>
    <row r="227" spans="1:4" x14ac:dyDescent="0.2">
      <c r="A227" t="str">
        <f>HYPERLINK("http://161.53.145.110", "http://161.53.145.110")</f>
        <v>http://161.53.145.110</v>
      </c>
      <c r="B227" t="s">
        <v>5</v>
      </c>
      <c r="C227" t="str">
        <f>HYPERLINK("https://www.reddit.com/r/opendirectories/comments/csvove", "Random full PDF's, and images of magazines mainly business and science journals")</f>
        <v>Random full PDF's, and images of magazines mainly business and science journals</v>
      </c>
      <c r="D227" t="s">
        <v>451</v>
      </c>
    </row>
    <row r="228" spans="1:4" x14ac:dyDescent="0.2">
      <c r="A228" t="str">
        <f>HYPERLINK("http://www.youngminds.gr/teamgr/sourta-ferta", "http://www.youngminds.gr/teamgr/sourta-ferta")</f>
        <v>http://www.youngminds.gr/teamgr/sourta-ferta</v>
      </c>
      <c r="B228" t="s">
        <v>5</v>
      </c>
      <c r="C228" t="str">
        <f>HYPERLINK("https://www.reddit.com/r/opendirectories/comments/crlp09", "images , paintings , pdfs and some weird stuff in greek")</f>
        <v>images , paintings , pdfs and some weird stuff in greek</v>
      </c>
      <c r="D228" t="s">
        <v>613</v>
      </c>
    </row>
    <row r="229" spans="1:4" x14ac:dyDescent="0.2">
      <c r="A229" t="str">
        <f>HYPERLINK("http://7-themes.com/data_images", "http://7-themes.com/data_images")</f>
        <v>http://7-themes.com/data_images</v>
      </c>
      <c r="B229" t="s">
        <v>5</v>
      </c>
      <c r="C229" t="str">
        <f>HYPERLINK("https://www.reddit.com/r/opendirectories/comments/ci761m", "Need a Wallpaper...or a Donald Duck Image?")</f>
        <v>Need a Wallpaper...or a Donald Duck Image?</v>
      </c>
      <c r="D229" t="s">
        <v>747</v>
      </c>
    </row>
    <row r="230" spans="1:4" x14ac:dyDescent="0.2">
      <c r="A230" t="str">
        <f>HYPERLINK("http://ftp.ntua.gr", "http://ftp.ntua.gr")</f>
        <v>http://ftp.ntua.gr</v>
      </c>
      <c r="B230" t="s">
        <v>5</v>
      </c>
      <c r="C230" t="str">
        <f>HYPERLINK("https://www.reddit.com/r/opendirectories/comments/by8dzu", "A tone of operating systems , some graphics , some images and some more files as well !!!")</f>
        <v>A tone of operating systems , some graphics , some images and some more files as well !!!</v>
      </c>
      <c r="D230" t="s">
        <v>616</v>
      </c>
    </row>
    <row r="231" spans="1:4" x14ac:dyDescent="0.2">
      <c r="A231" t="str">
        <f>HYPERLINK("https://tgftp.nws.noaa.gov", "https://tgftp.nws.noaa.gov")</f>
        <v>https://tgftp.nws.noaa.gov</v>
      </c>
      <c r="B231" t="s">
        <v>5</v>
      </c>
      <c r="C231" t="str">
        <f>HYPERLINK("https://www.reddit.com/r/opendirectories/comments/by1ycs", "National Weather Service Telecommunication Operations Center OD")</f>
        <v>National Weather Service Telecommunication Operations Center OD</v>
      </c>
      <c r="D231" t="s">
        <v>616</v>
      </c>
    </row>
    <row r="232" spans="1:4" x14ac:dyDescent="0.2">
      <c r="A232" t="str">
        <f>HYPERLINK("https://www.hwinfo.com/Chernobyl", "https://www.hwinfo.com/Chernobyl")</f>
        <v>https://www.hwinfo.com/Chernobyl</v>
      </c>
      <c r="B232" t="s">
        <v>5</v>
      </c>
      <c r="C232" t="str">
        <f>HYPERLINK("https://www.reddit.com/r/opendirectories/comments/brorxr", "Texts and photos about Chernobyl disaster")</f>
        <v>Texts and photos about Chernobyl disaster</v>
      </c>
      <c r="D232" t="s">
        <v>491</v>
      </c>
    </row>
    <row r="233" spans="1:4" x14ac:dyDescent="0.2">
      <c r="A233" t="str">
        <f>HYPERLINK("https://intranet.newriver.edu/images/stories/library/Stennett_Psychology_Articles", "https://intranet.newriver.edu/images/stories/library/Stennett_Psychology_Articles")</f>
        <v>https://intranet.newriver.edu/images/stories/library/Stennett_Psychology_Articles</v>
      </c>
      <c r="B233" t="s">
        <v>5</v>
      </c>
      <c r="C233" t="str">
        <f>HYPERLINK("https://www.reddit.com/r/opendirectories/comments/bi3jht", "Over 600 articles on psychology, very interesting stuff.")</f>
        <v>Over 600 articles on psychology, very interesting stuff.</v>
      </c>
      <c r="D233" t="s">
        <v>617</v>
      </c>
    </row>
    <row r="234" spans="1:4" x14ac:dyDescent="0.2">
      <c r="A234" t="str">
        <f>HYPERLINK("https://b.goeswhere.com", "https://b.goeswhere.com")</f>
        <v>https://b.goeswhere.com</v>
      </c>
      <c r="B234" t="s">
        <v>5</v>
      </c>
      <c r="C234" t="str">
        <f t="shared" ref="C234:C260" si="6">HYPERLINK("https://www.reddit.com/r/opendirectories/comments/ape43b", "list of RE-POST's")</f>
        <v>list of RE-POST's</v>
      </c>
      <c r="D234" t="s">
        <v>396</v>
      </c>
    </row>
    <row r="235" spans="1:4" x14ac:dyDescent="0.2">
      <c r="A235" t="str">
        <f>HYPERLINK("https://blackstarkodi.com", "https://blackstarkodi.com")</f>
        <v>https://blackstarkodi.com</v>
      </c>
      <c r="B235" t="s">
        <v>5</v>
      </c>
      <c r="C235" t="str">
        <f t="shared" si="6"/>
        <v>list of RE-POST's</v>
      </c>
      <c r="D235" t="s">
        <v>396</v>
      </c>
    </row>
    <row r="236" spans="1:4" x14ac:dyDescent="0.2">
      <c r="A236" t="str">
        <f>HYPERLINK("https://cache.csrulez.ru", "https://cache.csrulez.ru")</f>
        <v>https://cache.csrulez.ru</v>
      </c>
      <c r="B236" t="s">
        <v>5</v>
      </c>
      <c r="C236" t="str">
        <f t="shared" si="6"/>
        <v>list of RE-POST's</v>
      </c>
      <c r="D236" t="s">
        <v>396</v>
      </c>
    </row>
    <row r="237" spans="1:4" x14ac:dyDescent="0.2">
      <c r="A237" t="str">
        <f>HYPERLINK("https://ch0c.com", "https://ch0c.com")</f>
        <v>https://ch0c.com</v>
      </c>
      <c r="B237" t="s">
        <v>5</v>
      </c>
      <c r="C237" t="str">
        <f t="shared" si="6"/>
        <v>list of RE-POST's</v>
      </c>
      <c r="D237" t="s">
        <v>396</v>
      </c>
    </row>
    <row r="238" spans="1:4" x14ac:dyDescent="0.2">
      <c r="A238" t="str">
        <f>HYPERLINK("https://cyberside.net.ee", "https://cyberside.net.ee")</f>
        <v>https://cyberside.net.ee</v>
      </c>
      <c r="B238" t="s">
        <v>5</v>
      </c>
      <c r="C238" t="str">
        <f t="shared" si="6"/>
        <v>list of RE-POST's</v>
      </c>
      <c r="D238" t="s">
        <v>396</v>
      </c>
    </row>
    <row r="239" spans="1:4" x14ac:dyDescent="0.2">
      <c r="A239" t="str">
        <f>HYPERLINK("https://dl.par30dl.com", "https://dl.par30dl.com")</f>
        <v>https://dl.par30dl.com</v>
      </c>
      <c r="B239" t="s">
        <v>5</v>
      </c>
      <c r="C239" t="str">
        <f t="shared" si="6"/>
        <v>list of RE-POST's</v>
      </c>
      <c r="D239" t="s">
        <v>396</v>
      </c>
    </row>
    <row r="240" spans="1:4" x14ac:dyDescent="0.2">
      <c r="A240" t="str">
        <f>HYPERLINK("https://download.nextcloud.com", "https://download.nextcloud.com")</f>
        <v>https://download.nextcloud.com</v>
      </c>
      <c r="B240" t="s">
        <v>5</v>
      </c>
      <c r="C240" t="str">
        <f t="shared" si="6"/>
        <v>list of RE-POST's</v>
      </c>
      <c r="D240" t="s">
        <v>396</v>
      </c>
    </row>
    <row r="241" spans="1:4" x14ac:dyDescent="0.2">
      <c r="A241" t="str">
        <f>HYPERLINK("https://download.videolan.org", "https://download.videolan.org")</f>
        <v>https://download.videolan.org</v>
      </c>
      <c r="B241" t="s">
        <v>5</v>
      </c>
      <c r="C241" t="str">
        <f t="shared" si="6"/>
        <v>list of RE-POST's</v>
      </c>
      <c r="D241" t="s">
        <v>396</v>
      </c>
    </row>
    <row r="242" spans="1:4" x14ac:dyDescent="0.2">
      <c r="A242" t="str">
        <f>HYPERLINK("https://ftp.belnet.be", "https://ftp.belnet.be")</f>
        <v>https://ftp.belnet.be</v>
      </c>
      <c r="B242" t="s">
        <v>5</v>
      </c>
      <c r="C242" t="str">
        <f t="shared" si="6"/>
        <v>list of RE-POST's</v>
      </c>
      <c r="D242" t="s">
        <v>396</v>
      </c>
    </row>
    <row r="243" spans="1:4" x14ac:dyDescent="0.2">
      <c r="A243" t="str">
        <f>HYPERLINK("https://ftp.dlink.ru", "https://ftp.dlink.ru")</f>
        <v>https://ftp.dlink.ru</v>
      </c>
      <c r="B243" t="s">
        <v>5</v>
      </c>
      <c r="C243" t="str">
        <f t="shared" si="6"/>
        <v>list of RE-POST's</v>
      </c>
      <c r="D243" t="s">
        <v>396</v>
      </c>
    </row>
    <row r="244" spans="1:4" x14ac:dyDescent="0.2">
      <c r="A244" t="str">
        <f>HYPERLINK("https://ftp.funet.fi", "https://ftp.funet.fi")</f>
        <v>https://ftp.funet.fi</v>
      </c>
      <c r="B244" t="s">
        <v>5</v>
      </c>
      <c r="C244" t="str">
        <f t="shared" si="6"/>
        <v>list of RE-POST's</v>
      </c>
      <c r="D244" t="s">
        <v>396</v>
      </c>
    </row>
    <row r="245" spans="1:4" x14ac:dyDescent="0.2">
      <c r="A245" t="str">
        <f>HYPERLINK("https://ftp.gnome.org", "https://ftp.gnome.org")</f>
        <v>https://ftp.gnome.org</v>
      </c>
      <c r="B245" t="s">
        <v>5</v>
      </c>
      <c r="C245" t="str">
        <f t="shared" si="6"/>
        <v>list of RE-POST's</v>
      </c>
      <c r="D245" t="s">
        <v>396</v>
      </c>
    </row>
    <row r="246" spans="1:4" x14ac:dyDescent="0.2">
      <c r="A246" t="str">
        <f>HYPERLINK("https://galactic.to", "https://galactic.to")</f>
        <v>https://galactic.to</v>
      </c>
      <c r="B246" t="s">
        <v>5</v>
      </c>
      <c r="C246" t="str">
        <f t="shared" si="6"/>
        <v>list of RE-POST's</v>
      </c>
      <c r="D246" t="s">
        <v>396</v>
      </c>
    </row>
    <row r="247" spans="1:4" x14ac:dyDescent="0.2">
      <c r="A247" t="str">
        <f>HYPERLINK("https://gmsh.info", "https://gmsh.info")</f>
        <v>https://gmsh.info</v>
      </c>
      <c r="B247" t="s">
        <v>5</v>
      </c>
      <c r="C247" t="str">
        <f t="shared" si="6"/>
        <v>list of RE-POST's</v>
      </c>
      <c r="D247" t="s">
        <v>396</v>
      </c>
    </row>
    <row r="248" spans="1:4" x14ac:dyDescent="0.2">
      <c r="A248" t="str">
        <f>HYPERLINK("https://img.cs.montana.edu", "https://img.cs.montana.edu")</f>
        <v>https://img.cs.montana.edu</v>
      </c>
      <c r="B248" t="s">
        <v>5</v>
      </c>
      <c r="C248" t="str">
        <f t="shared" si="6"/>
        <v>list of RE-POST's</v>
      </c>
      <c r="D248" t="s">
        <v>396</v>
      </c>
    </row>
    <row r="249" spans="1:4" x14ac:dyDescent="0.2">
      <c r="A249" t="str">
        <f>HYPERLINK("https://incoherency.co.uk", "https://incoherency.co.uk")</f>
        <v>https://incoherency.co.uk</v>
      </c>
      <c r="B249" t="s">
        <v>5</v>
      </c>
      <c r="C249" t="str">
        <f t="shared" si="6"/>
        <v>list of RE-POST's</v>
      </c>
      <c r="D249" t="s">
        <v>396</v>
      </c>
    </row>
    <row r="250" spans="1:4" x14ac:dyDescent="0.2">
      <c r="A250" t="str">
        <f>HYPERLINK("https://legacymediastreams.com", "https://legacymediastreams.com")</f>
        <v>https://legacymediastreams.com</v>
      </c>
      <c r="B250" t="s">
        <v>5</v>
      </c>
      <c r="C250" t="str">
        <f t="shared" si="6"/>
        <v>list of RE-POST's</v>
      </c>
      <c r="D250" t="s">
        <v>396</v>
      </c>
    </row>
    <row r="251" spans="1:4" x14ac:dyDescent="0.2">
      <c r="A251" t="str">
        <f>HYPERLINK("https://media.xiph.org", "https://media.xiph.org")</f>
        <v>https://media.xiph.org</v>
      </c>
      <c r="B251" t="s">
        <v>5</v>
      </c>
      <c r="C251" t="str">
        <f t="shared" si="6"/>
        <v>list of RE-POST's</v>
      </c>
      <c r="D251" t="s">
        <v>396</v>
      </c>
    </row>
    <row r="252" spans="1:4" x14ac:dyDescent="0.2">
      <c r="A252" t="str">
        <f>HYPERLINK("https://modland.com", "https://modland.com")</f>
        <v>https://modland.com</v>
      </c>
      <c r="B252" t="s">
        <v>5</v>
      </c>
      <c r="C252" t="str">
        <f t="shared" si="6"/>
        <v>list of RE-POST's</v>
      </c>
      <c r="D252" t="s">
        <v>396</v>
      </c>
    </row>
    <row r="253" spans="1:4" x14ac:dyDescent="0.2">
      <c r="A253" t="str">
        <f>HYPERLINK("https://pics.yougave.me", "https://pics.yougave.me")</f>
        <v>https://pics.yougave.me</v>
      </c>
      <c r="B253" t="s">
        <v>5</v>
      </c>
      <c r="C253" t="str">
        <f t="shared" si="6"/>
        <v>list of RE-POST's</v>
      </c>
      <c r="D253" t="s">
        <v>396</v>
      </c>
    </row>
    <row r="254" spans="1:4" x14ac:dyDescent="0.2">
      <c r="A254" t="str">
        <f>HYPERLINK("https://repo.steampowered.com", "https://repo.steampowered.com")</f>
        <v>https://repo.steampowered.com</v>
      </c>
      <c r="B254" t="s">
        <v>5</v>
      </c>
      <c r="C254" t="str">
        <f t="shared" si="6"/>
        <v>list of RE-POST's</v>
      </c>
      <c r="D254" t="s">
        <v>396</v>
      </c>
    </row>
    <row r="255" spans="1:4" x14ac:dyDescent="0.2">
      <c r="A255" t="str">
        <f>HYPERLINK("https://rootjunkysdl.com", "https://rootjunkysdl.com")</f>
        <v>https://rootjunkysdl.com</v>
      </c>
      <c r="B255" t="s">
        <v>5</v>
      </c>
      <c r="C255" t="str">
        <f t="shared" si="6"/>
        <v>list of RE-POST's</v>
      </c>
      <c r="D255" t="s">
        <v>396</v>
      </c>
    </row>
    <row r="256" spans="1:4" x14ac:dyDescent="0.2">
      <c r="A256" t="str">
        <f>HYPERLINK("https://www.bookofthedead.ws", "https://www.bookofthedead.ws")</f>
        <v>https://www.bookofthedead.ws</v>
      </c>
      <c r="B256" t="s">
        <v>5</v>
      </c>
      <c r="C256" t="str">
        <f t="shared" si="6"/>
        <v>list of RE-POST's</v>
      </c>
      <c r="D256" t="s">
        <v>396</v>
      </c>
    </row>
    <row r="257" spans="1:4" x14ac:dyDescent="0.2">
      <c r="A257" t="str">
        <f>HYPERLINK("https://www.danielpeart.net", "https://www.danielpeart.net")</f>
        <v>https://www.danielpeart.net</v>
      </c>
      <c r="B257" t="s">
        <v>5</v>
      </c>
      <c r="C257" t="str">
        <f t="shared" si="6"/>
        <v>list of RE-POST's</v>
      </c>
      <c r="D257" t="s">
        <v>396</v>
      </c>
    </row>
    <row r="258" spans="1:4" x14ac:dyDescent="0.2">
      <c r="A258" t="str">
        <f>HYPERLINK("https://www.gamers.org", "https://www.gamers.org")</f>
        <v>https://www.gamers.org</v>
      </c>
      <c r="B258" t="s">
        <v>5</v>
      </c>
      <c r="C258" t="str">
        <f t="shared" si="6"/>
        <v>list of RE-POST's</v>
      </c>
      <c r="D258" t="s">
        <v>396</v>
      </c>
    </row>
    <row r="259" spans="1:4" x14ac:dyDescent="0.2">
      <c r="A259" t="str">
        <f>HYPERLINK("https://www.vivagamers.com", "https://www.vivagamers.com")</f>
        <v>https://www.vivagamers.com</v>
      </c>
      <c r="B259" t="s">
        <v>5</v>
      </c>
      <c r="C259" t="str">
        <f t="shared" si="6"/>
        <v>list of RE-POST's</v>
      </c>
      <c r="D259" t="s">
        <v>396</v>
      </c>
    </row>
    <row r="260" spans="1:4" x14ac:dyDescent="0.2">
      <c r="A260" t="str">
        <f>HYPERLINK("https://www.xbmcmods.com", "https://www.xbmcmods.com")</f>
        <v>https://www.xbmcmods.com</v>
      </c>
      <c r="B260" t="s">
        <v>5</v>
      </c>
      <c r="C260" t="str">
        <f t="shared" si="6"/>
        <v>list of RE-POST's</v>
      </c>
      <c r="D260" t="s">
        <v>396</v>
      </c>
    </row>
    <row r="261" spans="1:4" x14ac:dyDescent="0.2">
      <c r="A261" t="str">
        <f>HYPERLINK("http://chimpmania.com/forum/skim", "http://chimpmania.com/forum/skim")</f>
        <v>http://chimpmania.com/forum/skim</v>
      </c>
      <c r="B261" t="s">
        <v>5</v>
      </c>
      <c r="C261" t="str">
        <f>HYPERLINK("https://www.reddit.com/r/opendirectories/comments/ae1kld", "collection of racist KKK songs, flash videos and pictures")</f>
        <v>collection of racist KKK songs, flash videos and pictures</v>
      </c>
      <c r="D261" t="s">
        <v>337</v>
      </c>
    </row>
    <row r="262" spans="1:4" x14ac:dyDescent="0.2">
      <c r="A262" t="str">
        <f>HYPERLINK("http://www.dastcom.com/music/songs", "http://www.dastcom.com/music/songs")</f>
        <v>http://www.dastcom.com/music/songs</v>
      </c>
      <c r="B262" t="s">
        <v>5</v>
      </c>
      <c r="C262" t="str">
        <f>HYPERLINK("https://www.reddit.com/r/opendirectories/comments/abh0ij", "Don Tibbit's covers. They are laughably terrible.")</f>
        <v>Don Tibbit's covers. They are laughably terrible.</v>
      </c>
      <c r="D262" t="s">
        <v>748</v>
      </c>
    </row>
    <row r="263" spans="1:4" x14ac:dyDescent="0.2">
      <c r="A263" t="str">
        <f>HYPERLINK("http://www.purposeinc.com/images", "http://www.purposeinc.com/images")</f>
        <v>http://www.purposeinc.com/images</v>
      </c>
      <c r="B263" t="s">
        <v>5</v>
      </c>
      <c r="C263" t="str">
        <f>HYPERLINK("https://www.reddit.com/r/opendirectories/comments/aa9vdx", "Web company random photos looks like a great place to work (Playboy Party ;))")</f>
        <v>Web company random photos looks like a great place to work (Playboy Party ;))</v>
      </c>
      <c r="D263" t="s">
        <v>749</v>
      </c>
    </row>
    <row r="264" spans="1:4" x14ac:dyDescent="0.2">
      <c r="A264" t="str">
        <f>HYPERLINK("https://datapacket.com", "https://datapacket.com")</f>
        <v>https://datapacket.com</v>
      </c>
      <c r="B264" t="s">
        <v>5</v>
      </c>
      <c r="C264" t="str">
        <f>HYPERLINK("https://www.reddit.com/r/opendirectories/comments/92fnzh", "Revamped Fusker System - View Open Directory Images @ The-Eye")</f>
        <v>Revamped Fusker System - View Open Directory Images @ The-Eye</v>
      </c>
      <c r="D264" t="s">
        <v>161</v>
      </c>
    </row>
    <row r="265" spans="1:4" x14ac:dyDescent="0.2">
      <c r="A265" t="str">
        <f>HYPERLINK("http://chs63.net/2013", "http://chs63.net/2013")</f>
        <v>http://chs63.net/2013</v>
      </c>
      <c r="B265" t="s">
        <v>5</v>
      </c>
      <c r="C265" t="str">
        <f>HYPERLINK("https://www.reddit.com/r/opendirectories/comments/9tk7gf", "music (mostly) of all sorts ..")</f>
        <v>music (mostly) of all sorts ..</v>
      </c>
      <c r="D265" t="s">
        <v>543</v>
      </c>
    </row>
    <row r="266" spans="1:4" x14ac:dyDescent="0.2">
      <c r="A266" t="str">
        <f>HYPERLINK("http://markswist.com/markpersonal", "http://markswist.com/markpersonal")</f>
        <v>http://markswist.com/markpersonal</v>
      </c>
      <c r="B266" t="s">
        <v>5</v>
      </c>
      <c r="C266" t="str">
        <f>HYPERLINK("https://www.reddit.com/r/opendirectories/comments/9tk7gf", "music (mostly) of all sorts ..")</f>
        <v>music (mostly) of all sorts ..</v>
      </c>
      <c r="D266" t="s">
        <v>543</v>
      </c>
    </row>
    <row r="267" spans="1:4" x14ac:dyDescent="0.2">
      <c r="A267" t="str">
        <f>HYPERLINK("http://wilmingtonnetworks.ddns.net/music", "http://wilmingtonnetworks.ddns.net/music")</f>
        <v>http://wilmingtonnetworks.ddns.net/music</v>
      </c>
      <c r="B267" t="s">
        <v>5</v>
      </c>
      <c r="C267" t="str">
        <f>HYPERLINK("https://www.reddit.com/r/opendirectories/comments/9tk7gf", "music (mostly) of all sorts ..")</f>
        <v>music (mostly) of all sorts ..</v>
      </c>
      <c r="D267" t="s">
        <v>543</v>
      </c>
    </row>
    <row r="268" spans="1:4" x14ac:dyDescent="0.2">
      <c r="A268" t="str">
        <f>HYPERLINK("http://www.gizard.org/goother", "http://www.gizard.org/goother")</f>
        <v>http://www.gizard.org/goother</v>
      </c>
      <c r="B268" t="s">
        <v>5</v>
      </c>
      <c r="C268" t="str">
        <f>HYPERLINK("https://www.reddit.com/r/opendirectories/comments/8knt70", "music and comedy albums (eg monty python, national lampoon)-some stuff zipped+some programs")</f>
        <v>music and comedy albums (eg monty python, national lampoon)-some stuff zipped+some programs</v>
      </c>
      <c r="D268" t="s">
        <v>496</v>
      </c>
    </row>
    <row r="269" spans="1:4" x14ac:dyDescent="0.2">
      <c r="A269" t="str">
        <f>HYPERLINK("http://www.mcrfb.com/files", "http://www.mcrfb.com/files")</f>
        <v>http://www.mcrfb.com/files</v>
      </c>
      <c r="B269" t="s">
        <v>5</v>
      </c>
      <c r="C269" t="str">
        <f>HYPERLINK("https://www.reddit.com/r/opendirectories/comments/9tk7gf", "music (mostly) of all sorts ..")</f>
        <v>music (mostly) of all sorts ..</v>
      </c>
      <c r="D269" t="s">
        <v>543</v>
      </c>
    </row>
    <row r="270" spans="1:4" x14ac:dyDescent="0.2">
      <c r="A270" t="str">
        <f>HYPERLINK("https://images.khinsider.com", "https://images.khinsider.com")</f>
        <v>https://images.khinsider.com</v>
      </c>
      <c r="B270" t="s">
        <v>5</v>
      </c>
      <c r="C270" t="str">
        <f>HYPERLINK("https://www.reddit.com/r/opendirectories/comments/9og8b5", "Artwork, wallpapers and other stuff about The World Ends With You (Square Enix videogame)")</f>
        <v>Artwork, wallpapers and other stuff about The World Ends With You (Square Enix videogame)</v>
      </c>
      <c r="D270" t="s">
        <v>750</v>
      </c>
    </row>
    <row r="271" spans="1:4" x14ac:dyDescent="0.2">
      <c r="A271" t="str">
        <f>HYPERLINK("http://www.brescoudos.com/wp-content/gallery", "http://www.brescoudos.com/wp-content/gallery")</f>
        <v>http://www.brescoudos.com/wp-content/gallery</v>
      </c>
      <c r="B271" t="s">
        <v>5</v>
      </c>
      <c r="C271" t="str">
        <f>HYPERLINK("https://www.reddit.com/r/opendirectories/comments/9jxg9f", "Large collection of pics from a biker week in Europe. Pictures of bikes, bikers, etc.")</f>
        <v>Large collection of pics from a biker week in Europe. Pictures of bikes, bikers, etc.</v>
      </c>
      <c r="D271" t="s">
        <v>751</v>
      </c>
    </row>
    <row r="272" spans="1:4" x14ac:dyDescent="0.2">
      <c r="A272" t="str">
        <f>HYPERLINK("https://raw.pixls.us", "https://raw.pixls.us")</f>
        <v>https://raw.pixls.us</v>
      </c>
      <c r="B272" t="s">
        <v>5</v>
      </c>
      <c r="C272" t="str">
        <f>HYPERLINK("https://www.reddit.com/r/opendirectories/comments/9i1lmw", "Directory with RAW images clicked using several Cameras")</f>
        <v>Directory with RAW images clicked using several Cameras</v>
      </c>
      <c r="D272" t="s">
        <v>752</v>
      </c>
    </row>
    <row r="273" spans="1:5" x14ac:dyDescent="0.2">
      <c r="A273" t="str">
        <f>HYPERLINK("http://www.cvinternet.net/~weathercam/naked", "http://www.cvinternet.net/~weathercam/naked")</f>
        <v>http://www.cvinternet.net/~weathercam/naked</v>
      </c>
      <c r="B273" t="s">
        <v>5</v>
      </c>
      <c r="C273" t="str">
        <f>HYPERLINK("https://www.reddit.com/r/opendirectories/comments/9efvbd", "Weather Cam Photos - Not Sexy But Interesting")</f>
        <v>Weather Cam Photos - Not Sexy But Interesting</v>
      </c>
      <c r="D273" t="s">
        <v>753</v>
      </c>
    </row>
    <row r="274" spans="1:5" x14ac:dyDescent="0.2">
      <c r="A274" t="str">
        <f>HYPERLINK("http://prikol.ru/wp-content/gallery", "http://prikol.ru/wp-content/gallery")</f>
        <v>http://prikol.ru/wp-content/gallery</v>
      </c>
      <c r="B274" t="s">
        <v>5</v>
      </c>
      <c r="C274" t="str">
        <f>HYPERLINK("https://www.reddit.com/r/opendirectories/comments/9d0uoj", "Russian Photo Site - I Don't Speak The Language (NSFW)")</f>
        <v>Russian Photo Site - I Don't Speak The Language (NSFW)</v>
      </c>
      <c r="D274" t="s">
        <v>497</v>
      </c>
      <c r="E274" t="s">
        <v>8</v>
      </c>
    </row>
    <row r="275" spans="1:5" x14ac:dyDescent="0.2">
      <c r="A275" t="str">
        <f>HYPERLINK("http://teehunter.com/wp-content/uploads", "http://teehunter.com/wp-content/uploads")</f>
        <v>http://teehunter.com/wp-content/uploads</v>
      </c>
      <c r="B275" t="s">
        <v>5</v>
      </c>
      <c r="C275" t="str">
        <f>HYPERLINK("https://www.reddit.com/r/opendirectories/comments/92s246", "T-Shirt Pictures, Maybe More in the PD")</f>
        <v>T-Shirt Pictures, Maybe More in the PD</v>
      </c>
      <c r="D275" t="s">
        <v>754</v>
      </c>
    </row>
    <row r="276" spans="1:5" x14ac:dyDescent="0.2">
      <c r="A276" t="str">
        <f>HYPERLINK("https://www.cpokemon.com", "https://www.cpokemon.com")</f>
        <v>https://www.cpokemon.com</v>
      </c>
      <c r="B276" t="s">
        <v>5</v>
      </c>
      <c r="C276" t="str">
        <f>HYPERLINK("https://www.reddit.com/r/opendirectories/comments/8mn6h0", "Pokemon Images-Sprites-Sounds")</f>
        <v>Pokemon Images-Sprites-Sounds</v>
      </c>
      <c r="D276" t="s">
        <v>500</v>
      </c>
    </row>
    <row r="277" spans="1:5" x14ac:dyDescent="0.2">
      <c r="A277" t="str">
        <f>HYPERLINK("https://sdo.gsfc.nasa.gov/assets/img/browse", "https://sdo.gsfc.nasa.gov/assets/img/browse")</f>
        <v>https://sdo.gsfc.nasa.gov/assets/img/browse</v>
      </c>
      <c r="B277" t="s">
        <v>5</v>
      </c>
      <c r="C277" t="str">
        <f>HYPERLINK("https://www.reddit.com/r/opendirectories/comments/66ld2g", "NASA Solar Dynamics Observatory data")</f>
        <v>NASA Solar Dynamics Observatory data</v>
      </c>
      <c r="D277" t="s">
        <v>755</v>
      </c>
    </row>
    <row r="278" spans="1:5" x14ac:dyDescent="0.2">
      <c r="A278" t="str">
        <f>HYPERLINK("http://bibotu.com/books", "http://bibotu.com/books")</f>
        <v>http://bibotu.com/books</v>
      </c>
      <c r="B278" t="s">
        <v>5</v>
      </c>
      <c r="C278" t="str">
        <f>HYPERLINK("https://www.reddit.com/r/opendirectories/comments/82czvl", "[IMAGES] High-Resolution Scans of Illuminated Manuscripts (Persian) (JPEG)")</f>
        <v>[IMAGES] High-Resolution Scans of Illuminated Manuscripts (Persian) (JPEG)</v>
      </c>
      <c r="D278" t="s">
        <v>756</v>
      </c>
    </row>
    <row r="279" spans="1:5" x14ac:dyDescent="0.2">
      <c r="A279" t="str">
        <f>HYPERLINK("https://10gbps.io", "https://10gbps.io")</f>
        <v>https://10gbps.io</v>
      </c>
      <c r="B279" t="s">
        <v>5</v>
      </c>
      <c r="C279" t="str">
        <f>HYPERLINK("https://www.reddit.com/r/opendirectories/comments/7gs0f2", "Google Index Search Engine @ The-Eye")</f>
        <v>Google Index Search Engine @ The-Eye</v>
      </c>
      <c r="D279" t="s">
        <v>346</v>
      </c>
    </row>
    <row r="280" spans="1:5" x14ac:dyDescent="0.2">
      <c r="A280" t="str">
        <f>HYPERLINK("https://www.ngdc.noaa.gov/mgg/topo/pictures", "https://www.ngdc.noaa.gov/mgg/topo/pictures")</f>
        <v>https://www.ngdc.noaa.gov/mgg/topo/pictures</v>
      </c>
      <c r="B280" t="s">
        <v>5</v>
      </c>
      <c r="C280" t="str">
        <f>HYPERLINK("https://www.reddit.com/r/opendirectories/comments/7lvsrn", "NOAA Topo Images")</f>
        <v>NOAA Topo Images</v>
      </c>
      <c r="D280" t="s">
        <v>627</v>
      </c>
    </row>
    <row r="281" spans="1:5" x14ac:dyDescent="0.2">
      <c r="A281" t="str">
        <f>HYPERLINK("http://thumbnails.libretro.com", "http://thumbnails.libretro.com")</f>
        <v>http://thumbnails.libretro.com</v>
      </c>
      <c r="B281" t="s">
        <v>5</v>
      </c>
      <c r="C281" t="str">
        <f>HYPERLINK("https://www.reddit.com/r/opendirectories/comments/7icwef", "An impressive collection of retro Video Game box art and snapshots. (90+ Platforms. 1000s of Images.)")</f>
        <v>An impressive collection of retro Video Game box art and snapshots. (90+ Platforms. 1000s of Images.)</v>
      </c>
      <c r="D281" t="s">
        <v>181</v>
      </c>
    </row>
    <row r="282" spans="1:5" x14ac:dyDescent="0.2">
      <c r="A282" t="str">
        <f>HYPERLINK("http://www.peoyork.com/files", "http://www.peoyork.com/files")</f>
        <v>http://www.peoyork.com/files</v>
      </c>
      <c r="B282" t="s">
        <v>5</v>
      </c>
      <c r="C282" t="str">
        <f>HYPERLINK("https://www.reddit.com/r/opendirectories/comments/7h3a26", "[Stock][Images] High quality stock images")</f>
        <v>[Stock][Images] High quality stock images</v>
      </c>
      <c r="D282" t="s">
        <v>757</v>
      </c>
    </row>
    <row r="283" spans="1:5" x14ac:dyDescent="0.2">
      <c r="A283" t="str">
        <f>HYPERLINK("http://frontiernet.net/~mardenz", "http://frontiernet.net/~mardenz")</f>
        <v>http://frontiernet.net/~mardenz</v>
      </c>
      <c r="B283" t="s">
        <v>5</v>
      </c>
      <c r="C283" t="str">
        <f>HYPERLINK("https://www.reddit.com/r/opendirectories/comments/79s2px", "A bunch of kids cartoon vector pictures as .svg files. I orginally thought was video, is not.")</f>
        <v>A bunch of kids cartoon vector pictures as .svg files. I orginally thought was video, is not.</v>
      </c>
      <c r="D283" t="s">
        <v>350</v>
      </c>
    </row>
    <row r="284" spans="1:5" x14ac:dyDescent="0.2">
      <c r="A284" t="str">
        <f>HYPERLINK("http://www.alpha-ii.com/Download/Main.html", "http://www.alpha-ii.com/Download/Main.html")</f>
        <v>http://www.alpha-ii.com/Download/Main.html</v>
      </c>
      <c r="B284" t="s">
        <v>5</v>
      </c>
      <c r="C284" t="str">
        <f>HYPERLINK("https://www.reddit.com/r/opendirectories/comments/74iych", "The Chiptune/Game Music Open Directory Archive List")</f>
        <v>The Chiptune/Game Music Open Directory Archive List</v>
      </c>
      <c r="D284" t="s">
        <v>351</v>
      </c>
    </row>
    <row r="285" spans="1:5" x14ac:dyDescent="0.2">
      <c r="A285" t="str">
        <f>HYPERLINK("https://www.hcs64.com/usf", "https://www.hcs64.com/usf")</f>
        <v>https://www.hcs64.com/usf</v>
      </c>
      <c r="B285" t="s">
        <v>5</v>
      </c>
      <c r="C285" t="str">
        <f>HYPERLINK("https://www.reddit.com/r/opendirectories/comments/74iych", "The Chiptune/Game Music Open Directory Archive List")</f>
        <v>The Chiptune/Game Music Open Directory Archive List</v>
      </c>
      <c r="D285" t="s">
        <v>351</v>
      </c>
    </row>
    <row r="286" spans="1:5" x14ac:dyDescent="0.2">
      <c r="A286" t="str">
        <f>HYPERLINK("http://www.audiogenic.fr/4566dkju54dfg", "http://www.audiogenic.fr/4566dkju54dfg")</f>
        <v>http://www.audiogenic.fr/4566dkju54dfg</v>
      </c>
      <c r="B286" t="s">
        <v>5</v>
      </c>
      <c r="C286" t="str">
        <f>HYPERLINK("https://www.reddit.com/r/opendirectories/comments/6z1eys", "A bit of music, some photos, et cetera")</f>
        <v>A bit of music, some photos, et cetera</v>
      </c>
      <c r="D286" t="s">
        <v>552</v>
      </c>
    </row>
    <row r="287" spans="1:5" x14ac:dyDescent="0.2">
      <c r="A287" t="str">
        <f>HYPERLINK("https://rmccurdy.com/gal/femalecelebs", "https://rmccurdy.com/gal/femalecelebs")</f>
        <v>https://rmccurdy.com/gal/femalecelebs</v>
      </c>
      <c r="B287" t="s">
        <v>5</v>
      </c>
      <c r="C287" t="str">
        <f>HYPERLINK("https://www.reddit.com/r/opendirectories/comments/6cg46m", "Link to Celeb Photos might be some NSFW but i haven't seen any so far just taste full pics of celebs i don't see much")</f>
        <v>Link to Celeb Photos might be some NSFW but i haven't seen any so far just taste full pics of celebs i don't see much</v>
      </c>
      <c r="D287" t="s">
        <v>708</v>
      </c>
    </row>
    <row r="288" spans="1:5" x14ac:dyDescent="0.2">
      <c r="A288" t="str">
        <f>HYPERLINK("https://dwglogo.com/wp-content/uploads", "https://dwglogo.com/wp-content/uploads")</f>
        <v>https://dwglogo.com/wp-content/uploads</v>
      </c>
      <c r="B288" t="s">
        <v>5</v>
      </c>
      <c r="C288" t="str">
        <f>HYPERLINK("https://www.reddit.com/r/opendirectories/comments/6ae8zb", "Lots of transparent PNG Company Logos in various sizes, grouped by dates of upload.")</f>
        <v>Lots of transparent PNG Company Logos in various sizes, grouped by dates of upload.</v>
      </c>
      <c r="D288" t="s">
        <v>758</v>
      </c>
    </row>
    <row r="289" spans="1:5" x14ac:dyDescent="0.2">
      <c r="A289" t="str">
        <f>HYPERLINK("http://arcarc.xmission.com", "http://arcarc.xmission.com")</f>
        <v>http://arcarc.xmission.com</v>
      </c>
      <c r="B289" t="s">
        <v>5</v>
      </c>
      <c r="C289" t="str">
        <f>HYPERLINK("https://www.reddit.com/r/opendirectories/comments/2pjeyo", "Very Large Arcade Manual Listing")</f>
        <v>Very Large Arcade Manual Listing</v>
      </c>
      <c r="D289" t="s">
        <v>628</v>
      </c>
    </row>
    <row r="290" spans="1:5" x14ac:dyDescent="0.2">
      <c r="A290" t="str">
        <f>HYPERLINK("http://the-sinner.net/download", "http://the-sinner.net/download")</f>
        <v>http://the-sinner.net/download</v>
      </c>
      <c r="B290" t="s">
        <v>5</v>
      </c>
      <c r="C290" t="str">
        <f>HYPERLINK("https://www.reddit.com/r/opendirectories/comments/5s7vpy", "A mixed bag of books , images and videos , mostly Russian folder names but very interesting stuff.")</f>
        <v>A mixed bag of books , images and videos , mostly Russian folder names but very interesting stuff.</v>
      </c>
      <c r="D290" t="s">
        <v>353</v>
      </c>
      <c r="E290" t="s">
        <v>8</v>
      </c>
    </row>
    <row r="291" spans="1:5" x14ac:dyDescent="0.2">
      <c r="A291" t="str">
        <f>HYPERLINK("http://xn--dahlstrm-t4a.net", "http://xn--dahlstrm-t4a.net")</f>
        <v>http://xn--dahlstrm-t4a.net</v>
      </c>
      <c r="B291" t="s">
        <v>5</v>
      </c>
      <c r="C291" t="str">
        <f>HYPERLINK("https://www.reddit.com/r/opendirectories/comments/5ox8bu", "Test if your browser has SVG support ... I think?")</f>
        <v>Test if your browser has SVG support ... I think?</v>
      </c>
      <c r="D291" t="s">
        <v>205</v>
      </c>
    </row>
    <row r="292" spans="1:5" x14ac:dyDescent="0.2">
      <c r="A292" t="str">
        <f>HYPERLINK("https://eternallybored.org/imgs", "https://eternallybored.org/imgs")</f>
        <v>https://eternallybored.org/imgs</v>
      </c>
      <c r="B292" t="s">
        <v>5</v>
      </c>
      <c r="C292" t="str">
        <f>HYPERLINK("https://www.reddit.com/r/opendirectories/comments/5niawe", "Some (many) random images, mostly computer-related")</f>
        <v>Some (many) random images, mostly computer-related</v>
      </c>
      <c r="D292" t="s">
        <v>759</v>
      </c>
    </row>
    <row r="293" spans="1:5" x14ac:dyDescent="0.2">
      <c r="A293" t="str">
        <f>HYPERLINK("http://www.russianamerica.com/common/gfx", "http://www.russianamerica.com/common/gfx")</f>
        <v>http://www.russianamerica.com/common/gfx</v>
      </c>
      <c r="B293" t="s">
        <v>5</v>
      </c>
      <c r="C293" t="str">
        <f>HYPERLINK("https://www.reddit.com/r/opendirectories/comments/2yythg", "[NSFW] A Russian Wife. Only one picture with exposed boobs in this entire album, mildly exhilarating to search for it one by one.")</f>
        <v>[NSFW] A Russian Wife. Only one picture with exposed boobs in this entire album, mildly exhilarating to search for it one by one.</v>
      </c>
      <c r="D293" t="s">
        <v>760</v>
      </c>
      <c r="E293" t="s">
        <v>8</v>
      </c>
    </row>
    <row r="294" spans="1:5" x14ac:dyDescent="0.2">
      <c r="A294" t="str">
        <f>HYPERLINK("http://www.101modeling.com/site/talent", "http://www.101modeling.com/site/talent")</f>
        <v>http://www.101modeling.com/site/talent</v>
      </c>
      <c r="B294" t="s">
        <v>5</v>
      </c>
      <c r="C294" t="str">
        <f>HYPERLINK("https://www.reddit.com/r/opendirectories/comments/5a9s7u", "NSFW pictures")</f>
        <v>NSFW pictures</v>
      </c>
      <c r="D294" t="s">
        <v>761</v>
      </c>
    </row>
    <row r="295" spans="1:5" x14ac:dyDescent="0.2">
      <c r="A295" t="str">
        <f>HYPERLINK("http://www.cmap.polytechnique.fr/~yu", "http://www.cmap.polytechnique.fr/~yu")</f>
        <v>http://www.cmap.polytechnique.fr/~yu</v>
      </c>
      <c r="B295" t="s">
        <v>5</v>
      </c>
      <c r="C295" t="str">
        <f>HYPERLINK("https://www.reddit.com/r/opendirectories/comments/59um4x", "Pictures")</f>
        <v>Pictures</v>
      </c>
      <c r="D295" t="s">
        <v>762</v>
      </c>
    </row>
    <row r="296" spans="1:5" x14ac:dyDescent="0.2">
      <c r="A296" t="str">
        <f>HYPERLINK("http://www.metapill.co.uk", "http://www.metapill.co.uk")</f>
        <v>http://www.metapill.co.uk</v>
      </c>
      <c r="B296" t="s">
        <v>5</v>
      </c>
      <c r="C296" t="str">
        <f>HYPERLINK("https://www.reddit.com/r/opendirectories/comments/59k82k", "A bunch of pictures")</f>
        <v>A bunch of pictures</v>
      </c>
      <c r="D296" t="s">
        <v>763</v>
      </c>
    </row>
    <row r="297" spans="1:5" x14ac:dyDescent="0.2">
      <c r="A297" t="str">
        <f>HYPERLINK("http://www.prikol.ru/wp-content/gallery", "http://www.prikol.ru/wp-content/gallery")</f>
        <v>http://www.prikol.ru/wp-content/gallery</v>
      </c>
      <c r="B297" t="s">
        <v>5</v>
      </c>
      <c r="C297" t="str">
        <f>HYPERLINK("https://www.reddit.com/r/opendirectories/comments/595yxu", "Massive Gallery of photographer's images - some NSFW")</f>
        <v>Massive Gallery of photographer's images - some NSFW</v>
      </c>
      <c r="D297" t="s">
        <v>709</v>
      </c>
    </row>
    <row r="298" spans="1:5" x14ac:dyDescent="0.2">
      <c r="A298" t="str">
        <f>HYPERLINK("http://codeazur.com.br/pix", "http://codeazur.com.br/pix")</f>
        <v>http://codeazur.com.br/pix</v>
      </c>
      <c r="B298" t="s">
        <v>5</v>
      </c>
      <c r="C298" t="str">
        <f>HYPERLINK("https://www.reddit.com/r/opendirectories/comments/595r8z", "Large collection of pictures - some NSFW!")</f>
        <v>Large collection of pictures - some NSFW!</v>
      </c>
      <c r="D298" t="s">
        <v>709</v>
      </c>
    </row>
    <row r="299" spans="1:5" x14ac:dyDescent="0.2">
      <c r="A299" t="str">
        <f>HYPERLINK("http://www.3dtextmaker.com/queue", "http://www.3dtextmaker.com/queue")</f>
        <v>http://www.3dtextmaker.com/queue</v>
      </c>
      <c r="B299" t="s">
        <v>5</v>
      </c>
      <c r="C299" t="str">
        <f>HYPERLINK("https://www.reddit.com/r/opendirectories/comments/50yzh2", "Latest generated images of an online 3D text maker.")</f>
        <v>Latest generated images of an online 3D text maker.</v>
      </c>
      <c r="D299" t="s">
        <v>764</v>
      </c>
    </row>
    <row r="300" spans="1:5" x14ac:dyDescent="0.2">
      <c r="A300" t="str">
        <f>HYPERLINK("http://leafo.net", "http://leafo.net")</f>
        <v>http://leafo.net</v>
      </c>
      <c r="B300" t="s">
        <v>5</v>
      </c>
      <c r="C300" t="str">
        <f>HYPERLINK("https://www.reddit.com/r/opendirectories/comments/4vstfg", "Music, pictures, a handy book about how to say no to drugs. The parent directory contains some really weird stuff.")</f>
        <v>Music, pictures, a handy book about how to say no to drugs. The parent directory contains some really weird stuff.</v>
      </c>
      <c r="D300" t="s">
        <v>564</v>
      </c>
    </row>
    <row r="301" spans="1:5" x14ac:dyDescent="0.2">
      <c r="A301" t="str">
        <f>HYPERLINK("http://seramyu.mabdese.net/music", "http://seramyu.mabdese.net/music")</f>
        <v>http://seramyu.mabdese.net/music</v>
      </c>
      <c r="B301" t="s">
        <v>5</v>
      </c>
      <c r="C301" t="str">
        <f>HYPERLINK("https://www.reddit.com/r/opendirectories/comments/4sq2ny", "Very Bizarre Sailor Moon music, complete with album covers and other assorted junk")</f>
        <v>Very Bizarre Sailor Moon music, complete with album covers and other assorted junk</v>
      </c>
      <c r="D301" t="s">
        <v>354</v>
      </c>
    </row>
    <row r="302" spans="1:5" x14ac:dyDescent="0.2">
      <c r="A302" t="str">
        <f>HYPERLINK("https://wiki.installgentoo.com/images", "https://wiki.installgentoo.com/images")</f>
        <v>https://wiki.installgentoo.com/images</v>
      </c>
      <c r="B302" t="s">
        <v>5</v>
      </c>
      <c r="C302" t="str">
        <f>HYPERLINK("https://www.reddit.com/r/opendirectories/comments/4irw1q", "All the images on the InstallGentoo wiki.")</f>
        <v>All the images on the InstallGentoo wiki.</v>
      </c>
      <c r="D302" t="s">
        <v>765</v>
      </c>
    </row>
    <row r="303" spans="1:5" x14ac:dyDescent="0.2">
      <c r="A303" t="str">
        <f>HYPERLINK("http://info.stylee32.net", "http://info.stylee32.net")</f>
        <v>http://info.stylee32.net</v>
      </c>
      <c r="B303" t="s">
        <v>5</v>
      </c>
      <c r="C303" t="str">
        <f>HYPERLINK("https://www.reddit.com/r/opendirectories/comments/2m185o", "NSFW: All sorts of Pron")</f>
        <v>NSFW: All sorts of Pron</v>
      </c>
      <c r="D303" t="s">
        <v>766</v>
      </c>
    </row>
    <row r="304" spans="1:5" x14ac:dyDescent="0.2">
      <c r="A304" t="str">
        <f>HYPERLINK("http://www.garboforever.com/Bilder", "http://www.garboforever.com/Bilder")</f>
        <v>http://www.garboforever.com/Bilder</v>
      </c>
      <c r="B304" t="s">
        <v>5</v>
      </c>
      <c r="C304" t="str">
        <f>HYPERLINK("https://www.reddit.com/r/opendirectories/comments/3v4acw", "Hundreds of Greta Garbo pictures (well sorted)")</f>
        <v>Hundreds of Greta Garbo pictures (well sorted)</v>
      </c>
      <c r="D304" t="s">
        <v>640</v>
      </c>
    </row>
    <row r="305" spans="1:5" x14ac:dyDescent="0.2">
      <c r="A305" t="str">
        <f>HYPERLINK("http://justmywatches.com/private", "http://justmywatches.com/private")</f>
        <v>http://justmywatches.com/private</v>
      </c>
      <c r="B305" t="s">
        <v>5</v>
      </c>
      <c r="C305" t="str">
        <f>HYPERLINK("https://www.reddit.com/r/opendirectories/comments/3v44lg", "More pictures of watches than anyone could ever want...")</f>
        <v>More pictures of watches than anyone could ever want...</v>
      </c>
      <c r="D305" t="s">
        <v>640</v>
      </c>
    </row>
    <row r="306" spans="1:5" x14ac:dyDescent="0.2">
      <c r="A306" t="str">
        <f>HYPERLINK("http://www-sk.icrr.u-tokyo.ac.jp/~higuchi/private", "http://www-sk.icrr.u-tokyo.ac.jp/~higuchi/private")</f>
        <v>http://www-sk.icrr.u-tokyo.ac.jp/~higuchi/private</v>
      </c>
      <c r="B306" t="s">
        <v>5</v>
      </c>
      <c r="D306" t="s">
        <v>767</v>
      </c>
    </row>
    <row r="307" spans="1:5" x14ac:dyDescent="0.2">
      <c r="A307" t="str">
        <f>HYPERLINK("http://www.princess-emily.com/albums", "http://www.princess-emily.com/albums")</f>
        <v>http://www.princess-emily.com/albums</v>
      </c>
      <c r="B307" t="s">
        <v>5</v>
      </c>
      <c r="C307" t="str">
        <f>HYPERLINK("https://www.reddit.com/r/opendirectories/comments/3uu2qy", "Princess Emily - picture albums (likely NSFW but I didn't check)")</f>
        <v>Princess Emily - picture albums (likely NSFW but I didn't check)</v>
      </c>
      <c r="D307" t="s">
        <v>767</v>
      </c>
    </row>
    <row r="308" spans="1:5" x14ac:dyDescent="0.2">
      <c r="A308" t="str">
        <f>HYPERLINK("http://www.blackwhiteandraw.com/wp-content/gallery", "http://www.blackwhiteandraw.com/wp-content/gallery")</f>
        <v>http://www.blackwhiteandraw.com/wp-content/gallery</v>
      </c>
      <c r="B308" t="s">
        <v>5</v>
      </c>
      <c r="C308" t="str">
        <f>HYPERLINK("https://www.reddit.com/r/opendirectories/comments/3tv58z", "Wedding Photos...SFW")</f>
        <v>Wedding Photos...SFW</v>
      </c>
      <c r="D308" t="s">
        <v>234</v>
      </c>
    </row>
    <row r="309" spans="1:5" x14ac:dyDescent="0.2">
      <c r="A309" t="str">
        <f>HYPERLINK("http://sinsofcinema.com/Images", "http://sinsofcinema.com/Images")</f>
        <v>http://sinsofcinema.com/Images</v>
      </c>
      <c r="B309" t="s">
        <v>5</v>
      </c>
      <c r="C309" t="str">
        <f>HYPERLINK("https://www.reddit.com/r/opendirectories/comments/3tua4m", "Sins of Cinema - horror cult/genre film posters and movie stills")</f>
        <v>Sins of Cinema - horror cult/genre film posters and movie stills</v>
      </c>
      <c r="D309" t="s">
        <v>234</v>
      </c>
    </row>
    <row r="310" spans="1:5" x14ac:dyDescent="0.2">
      <c r="A310" t="str">
        <f>HYPERLINK("http://www.travisindustries.com/download", "http://www.travisindustries.com/download")</f>
        <v>http://www.travisindustries.com/download</v>
      </c>
      <c r="B310" t="s">
        <v>5</v>
      </c>
      <c r="C310" t="str">
        <f>HYPERLINK("https://www.reddit.com/r/opendirectories/comments/3tepo3", "Travis Industries (wood, pellet and gas stove, insert and fireplace company) - dumpsite (lots of pictures of stoves...)")</f>
        <v>Travis Industries (wood, pellet and gas stove, insert and fireplace company) - dumpsite (lots of pictures of stoves...)</v>
      </c>
      <c r="D310" t="s">
        <v>235</v>
      </c>
    </row>
    <row r="311" spans="1:5" x14ac:dyDescent="0.2">
      <c r="A311" t="str">
        <f>HYPERLINK("http://library.lindenwood.edu/archives", "http://library.lindenwood.edu/archives")</f>
        <v>http://library.lindenwood.edu/archives</v>
      </c>
      <c r="B311" t="s">
        <v>5</v>
      </c>
      <c r="C311" t="str">
        <f>HYPERLINK("https://www.reddit.com/r/opendirectories/comments/3t9s28", "Lindenwood Butler Library (MI) - TONS of digital archived data (new and old pictures, publications, documents, recordings, etc. Lots of stuff from the 1800's!)")</f>
        <v>Lindenwood Butler Library (MI) - TONS of digital archived data (new and old pictures, publications, documents, recordings, etc. Lots of stuff from the 1800's!)</v>
      </c>
      <c r="D311" t="s">
        <v>236</v>
      </c>
    </row>
    <row r="312" spans="1:5" x14ac:dyDescent="0.2">
      <c r="A312" t="str">
        <f>HYPERLINK("http://ridl.cfd.rit.edu", "http://ridl.cfd.rit.edu")</f>
        <v>http://ridl.cfd.rit.edu</v>
      </c>
      <c r="B312" t="s">
        <v>5</v>
      </c>
      <c r="C312" t="str">
        <f>HYPERLINK("https://www.reddit.com/r/opendirectories/comments/3t9otx", "Rochester Institute of Technology (Center for Detectors) - Pictures, manuals, observations, projects, etc")</f>
        <v>Rochester Institute of Technology (Center for Detectors) - Pictures, manuals, observations, projects, etc</v>
      </c>
      <c r="D312" t="s">
        <v>236</v>
      </c>
    </row>
    <row r="313" spans="1:5" x14ac:dyDescent="0.2">
      <c r="A313" t="str">
        <f>HYPERLINK("http://project-cms-rpc-endcap.web.cern.ch", "http://project-cms-rpc-endcap.web.cern.ch")</f>
        <v>http://project-cms-rpc-endcap.web.cern.ch</v>
      </c>
      <c r="B313" t="s">
        <v>5</v>
      </c>
      <c r="C313" t="str">
        <f>HYPERLINK("https://www.reddit.com/r/opendirectories/comments/3t9mu6", "CERN Particle Accelerator CMS RPC EndCap - Lots of pictures of builds and installations, some documentation, etc. Interesting stuff.")</f>
        <v>CERN Particle Accelerator CMS RPC EndCap - Lots of pictures of builds and installations, some documentation, etc. Interesting stuff.</v>
      </c>
      <c r="D313" t="s">
        <v>236</v>
      </c>
    </row>
    <row r="314" spans="1:5" x14ac:dyDescent="0.2">
      <c r="A314" t="str">
        <f>HYPERLINK("http://cygwin.com", "http://cygwin.com")</f>
        <v>http://cygwin.com</v>
      </c>
      <c r="B314" t="s">
        <v>5</v>
      </c>
      <c r="C314" t="str">
        <f>HYPERLINK("https://www.reddit.com/r/opendirectories/comments/3qu7p1", "How to: Mass-downloading for beginners")</f>
        <v>How to: Mass-downloading for beginners</v>
      </c>
      <c r="D314" t="s">
        <v>511</v>
      </c>
    </row>
    <row r="315" spans="1:5" x14ac:dyDescent="0.2">
      <c r="A315" t="str">
        <f>HYPERLINK("http://bootyavka.ru/ftp", "http://bootyavka.ru/ftp")</f>
        <v>http://bootyavka.ru/ftp</v>
      </c>
      <c r="B315" t="s">
        <v>5</v>
      </c>
      <c r="C315" t="str">
        <f>HYPERLINK("https://www.reddit.com/r/opendirectories/comments/3nfy8x", "Slovak School Photos?")</f>
        <v>Slovak School Photos?</v>
      </c>
      <c r="D315" t="s">
        <v>768</v>
      </c>
    </row>
    <row r="316" spans="1:5" x14ac:dyDescent="0.2">
      <c r="A316" t="str">
        <f>HYPERLINK("http://ranger.befunk.com", "http://ranger.befunk.com")</f>
        <v>http://ranger.befunk.com</v>
      </c>
      <c r="B316" t="s">
        <v>5</v>
      </c>
      <c r="C316" t="str">
        <f>HYPERLINK("https://www.reddit.com/r/opendirectories/comments/3lm4gy", "/u/wearehidden's directory dump (with more organization / info)")</f>
        <v>/u/wearehidden's directory dump (with more organization / info)</v>
      </c>
      <c r="D316" t="s">
        <v>358</v>
      </c>
      <c r="E316" t="s">
        <v>359</v>
      </c>
    </row>
    <row r="317" spans="1:5" x14ac:dyDescent="0.2">
      <c r="A317" t="str">
        <f>HYPERLINK("http://bum.net", "http://bum.net")</f>
        <v>http://bum.net</v>
      </c>
      <c r="B317" t="s">
        <v>5</v>
      </c>
      <c r="C317" t="str">
        <f>HYPERLINK("https://www.reddit.com/r/opendirectories/comments/3cvp0j", "Bum.net - weird assorted pictures and various media.")</f>
        <v>Bum.net - weird assorted pictures and various media.</v>
      </c>
      <c r="D317" t="s">
        <v>769</v>
      </c>
    </row>
    <row r="318" spans="1:5" x14ac:dyDescent="0.2">
      <c r="A318" t="str">
        <f>HYPERLINK("http://www.naughtybits.us/wp-content/uploads", "http://www.naughtybits.us/wp-content/uploads")</f>
        <v>http://www.naughtybits.us/wp-content/uploads</v>
      </c>
      <c r="B318" t="s">
        <v>5</v>
      </c>
      <c r="C318" t="str">
        <f>HYPERLINK("https://www.reddit.com/r/opendirectories/comments/3csu6w", "[NSFW] Funny Images")</f>
        <v>[NSFW] Funny Images</v>
      </c>
      <c r="D318" t="s">
        <v>770</v>
      </c>
    </row>
    <row r="319" spans="1:5" x14ac:dyDescent="0.2">
      <c r="A319" t="str">
        <f>HYPERLINK("http://interhost.hu/stuff", "http://interhost.hu/stuff")</f>
        <v>http://interhost.hu/stuff</v>
      </c>
      <c r="B319" t="s">
        <v>5</v>
      </c>
      <c r="C319" t="str">
        <f>HYPERLINK("https://www.reddit.com/r/opendirectories/comments/3bczlh", "Hi-Res Movie Posters")</f>
        <v>Hi-Res Movie Posters</v>
      </c>
      <c r="D319" t="s">
        <v>433</v>
      </c>
    </row>
    <row r="320" spans="1:5" x14ac:dyDescent="0.2">
      <c r="A320" t="str">
        <f>HYPERLINK("http://lcweb2.loc.gov/master", "http://lcweb2.loc.gov/master")</f>
        <v>http://lcweb2.loc.gov/master</v>
      </c>
      <c r="B320" t="s">
        <v>5</v>
      </c>
      <c r="C320" t="str">
        <f>HYPERLINK("https://www.reddit.com/r/opendirectories/comments/2mklud", "U.S. Library of Congress Historic American Buildings Survey (HABS) - photos and documentation, all in the public domain!")</f>
        <v>U.S. Library of Congress Historic American Buildings Survey (HABS) - photos and documentation, all in the public domain!</v>
      </c>
      <c r="D320" t="s">
        <v>771</v>
      </c>
    </row>
    <row r="321" spans="1:4" x14ac:dyDescent="0.2">
      <c r="A321" t="str">
        <f>HYPERLINK("http://iceberg.braxis.org/~kszysiu", "http://iceberg.braxis.org/~kszysiu")</f>
        <v>http://iceberg.braxis.org/~kszysiu</v>
      </c>
      <c r="B321" t="s">
        <v>5</v>
      </c>
      <c r="C321" t="str">
        <f>HYPERLINK("https://www.reddit.com/r/opendirectories/comments/e0zvy", "Pretty big library of random pictures/songs/clips, there a nice folder of Beksinski works")</f>
        <v>Pretty big library of random pictures/songs/clips, there a nice folder of Beksinski works</v>
      </c>
      <c r="D321" t="s">
        <v>574</v>
      </c>
    </row>
  </sheetData>
  <pageMargins left="0.75" right="0.75" top="1" bottom="1" header="0.511811023622047" footer="0.511811023622047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228"/>
  <sheetViews>
    <sheetView tabSelected="1" zoomScale="158" zoomScaleNormal="158" workbookViewId="0">
      <selection activeCell="C9" sqref="C9"/>
    </sheetView>
  </sheetViews>
  <sheetFormatPr baseColWidth="10" defaultColWidth="8.83203125" defaultRowHeight="15" x14ac:dyDescent="0.2"/>
  <cols>
    <col min="1" max="1" width="50" customWidth="1"/>
    <col min="3" max="3" width="65.5" customWidth="1"/>
    <col min="4" max="4" width="11" customWidth="1"/>
    <col min="5" max="5" width="80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s="1" t="str">
        <f>HYPERLINK("https://45.mangovideo.pw", "https://45.mangovideo.pw")</f>
        <v>https://45.mangovideo.pw</v>
      </c>
      <c r="B2" t="s">
        <v>5</v>
      </c>
      <c r="C2" t="s">
        <v>772</v>
      </c>
      <c r="D2" s="2">
        <v>45406</v>
      </c>
    </row>
    <row r="3" spans="1:5" x14ac:dyDescent="0.2">
      <c r="A3" s="1" t="str">
        <f>HYPERLINK("https://pmagazine.co/wp-content/uploads", "https://pmagazine.co/wp-content/uploads")</f>
        <v>https://pmagazine.co/wp-content/uploads</v>
      </c>
      <c r="B3" t="s">
        <v>5</v>
      </c>
      <c r="C3" t="s">
        <v>773</v>
      </c>
      <c r="D3" s="2">
        <v>45406</v>
      </c>
    </row>
    <row r="4" spans="1:5" x14ac:dyDescent="0.2">
      <c r="A4" t="str">
        <f>HYPERLINK("https://bu64.myds.me:8081", "https://bu64.myds.me:8081")</f>
        <v>https://bu64.myds.me:8081</v>
      </c>
      <c r="B4" t="s">
        <v>5</v>
      </c>
      <c r="C4" t="str">
        <f>HYPERLINK("https://www.reddit.com/r/opendirectories/comments/lhlis3", "[NSFW] gay porn pics and vids, mostly dom / bdsm, and a few documents as well")</f>
        <v>[NSFW] gay porn pics and vids, mostly dom / bdsm, and a few documents as well</v>
      </c>
      <c r="D4" s="2">
        <v>45406</v>
      </c>
      <c r="E4" t="s">
        <v>774</v>
      </c>
    </row>
    <row r="5" spans="1:5" x14ac:dyDescent="0.2">
      <c r="A5" s="1" t="str">
        <f>HYPERLINK("https://wizsdailydose.com/wp-content/uploads", "https://wizsdailydose.com/wp-content/uploads")</f>
        <v>https://wizsdailydose.com/wp-content/uploads</v>
      </c>
      <c r="B5" t="s">
        <v>5</v>
      </c>
      <c r="C5" t="s">
        <v>775</v>
      </c>
      <c r="D5" s="2">
        <v>45406</v>
      </c>
    </row>
    <row r="6" spans="1:5" x14ac:dyDescent="0.2">
      <c r="A6" t="str">
        <f>HYPERLINK("http://ingar.intranifty.net", "http://ingar.intranifty.net")</f>
        <v>http://ingar.intranifty.net</v>
      </c>
      <c r="B6" t="s">
        <v>5</v>
      </c>
      <c r="C6" t="str">
        <f t="shared" ref="C6:C14" si="0">HYPERLINK("https://www.reddit.com/r/opendirectories/comments/pp71gr", "2021-09-16 Daily post")</f>
        <v>2021-09-16 Daily post</v>
      </c>
      <c r="D6" s="2">
        <v>45406</v>
      </c>
    </row>
    <row r="7" spans="1:5" x14ac:dyDescent="0.2">
      <c r="A7" s="3" t="str">
        <f>HYPERLINK("http://www.huzheng.org", "http://www.huzheng.org")</f>
        <v>http://www.huzheng.org</v>
      </c>
      <c r="B7" t="s">
        <v>5</v>
      </c>
      <c r="C7" t="str">
        <f t="shared" si="0"/>
        <v>2021-09-16 Daily post</v>
      </c>
      <c r="D7" s="2">
        <v>45406</v>
      </c>
    </row>
    <row r="8" spans="1:5" x14ac:dyDescent="0.2">
      <c r="A8" t="str">
        <f>HYPERLINK("http://markburgess.org/music", "http://markburgess.org/music")</f>
        <v>http://markburgess.org/music</v>
      </c>
      <c r="B8" t="s">
        <v>5</v>
      </c>
      <c r="C8" t="str">
        <f t="shared" si="0"/>
        <v>2021-09-16 Daily post</v>
      </c>
      <c r="D8" s="2">
        <v>45406</v>
      </c>
    </row>
    <row r="9" spans="1:5" x14ac:dyDescent="0.2">
      <c r="A9" t="str">
        <f>HYPERLINK("https://www.backtracking-music.de/uranus", "https://www.backtracking-music.de/uranus")</f>
        <v>https://www.backtracking-music.de/uranus</v>
      </c>
      <c r="B9" t="s">
        <v>5</v>
      </c>
      <c r="C9" t="str">
        <f t="shared" si="0"/>
        <v>2021-09-16 Daily post</v>
      </c>
      <c r="D9" s="2">
        <v>45406</v>
      </c>
    </row>
    <row r="10" spans="1:5" x14ac:dyDescent="0.2">
      <c r="A10" t="str">
        <f>HYPERLINK("https://musicinsideout.wwno.org/audio", "https://musicinsideout.wwno.org/audio")</f>
        <v>https://musicinsideout.wwno.org/audio</v>
      </c>
      <c r="B10" t="s">
        <v>5</v>
      </c>
      <c r="C10" t="str">
        <f t="shared" si="0"/>
        <v>2021-09-16 Daily post</v>
      </c>
      <c r="D10" s="2">
        <v>45406</v>
      </c>
    </row>
    <row r="11" spans="1:5" x14ac:dyDescent="0.2">
      <c r="A11" s="3" t="str">
        <f>HYPERLINK("https://music.maxton.xyz/tracks", "https://music.maxton.xyz/tracks")</f>
        <v>https://music.maxton.xyz/tracks</v>
      </c>
      <c r="B11" t="s">
        <v>5</v>
      </c>
      <c r="C11" t="str">
        <f t="shared" si="0"/>
        <v>2021-09-16 Daily post</v>
      </c>
      <c r="D11" t="s">
        <v>7</v>
      </c>
    </row>
    <row r="12" spans="1:5" x14ac:dyDescent="0.2">
      <c r="A12" t="str">
        <f>HYPERLINK("http://scipp.ucsc.edu/~profumo/misc", "http://scipp.ucsc.edu/~profumo/misc")</f>
        <v>http://scipp.ucsc.edu/~profumo/misc</v>
      </c>
      <c r="B12" t="s">
        <v>5</v>
      </c>
      <c r="C12" t="str">
        <f t="shared" si="0"/>
        <v>2021-09-16 Daily post</v>
      </c>
      <c r="D12" s="2">
        <v>45406</v>
      </c>
    </row>
    <row r="13" spans="1:5" x14ac:dyDescent="0.2">
      <c r="A13" t="str">
        <f>HYPERLINK("https://people.duke.edu/~ajk17", "https://people.duke.edu/~ajk17")</f>
        <v>https://people.duke.edu/~ajk17</v>
      </c>
      <c r="B13" t="s">
        <v>5</v>
      </c>
      <c r="C13" t="str">
        <f t="shared" si="0"/>
        <v>2021-09-16 Daily post</v>
      </c>
      <c r="D13" s="2">
        <v>45406</v>
      </c>
    </row>
    <row r="14" spans="1:5" x14ac:dyDescent="0.2">
      <c r="A14" t="str">
        <f>HYPERLINK("http://socialdance.stanford.edu/music", "http://socialdance.stanford.edu/music")</f>
        <v>http://socialdance.stanford.edu/music</v>
      </c>
      <c r="B14" t="s">
        <v>5</v>
      </c>
      <c r="C14" t="str">
        <f t="shared" si="0"/>
        <v>2021-09-16 Daily post</v>
      </c>
      <c r="D14" s="2">
        <v>45406</v>
      </c>
    </row>
    <row r="15" spans="1:5" x14ac:dyDescent="0.2">
      <c r="A15" s="3" t="str">
        <f>HYPERLINK("https://www.espros.com", "https://www.espros.com")</f>
        <v>https://www.espros.com</v>
      </c>
      <c r="B15" t="s">
        <v>5</v>
      </c>
      <c r="C15" t="s">
        <v>792</v>
      </c>
      <c r="D15" t="s">
        <v>459</v>
      </c>
    </row>
    <row r="16" spans="1:5" x14ac:dyDescent="0.2">
      <c r="A16" s="3" t="str">
        <f>HYPERLINK("https://www.konrow.com/download", "https://www.konrow.com/download")</f>
        <v>https://www.konrow.com/download</v>
      </c>
      <c r="B16" t="s">
        <v>5</v>
      </c>
      <c r="C16" t="str">
        <f t="shared" ref="C15:C22" si="1">HYPERLINK("https://www.reddit.com/r/opendirectories/comments/pmqh90", "2021-09-12 Daily post")</f>
        <v>2021-09-12 Daily post</v>
      </c>
      <c r="D16" t="s">
        <v>459</v>
      </c>
    </row>
    <row r="17" spans="1:5" x14ac:dyDescent="0.2">
      <c r="A17" t="str">
        <f>HYPERLINK("https://www.dukelearntoprogram.com/downloads", "https://www.dukelearntoprogram.com/downloads")</f>
        <v>https://www.dukelearntoprogram.com/downloads</v>
      </c>
      <c r="B17" t="s">
        <v>5</v>
      </c>
      <c r="C17" t="str">
        <f t="shared" si="1"/>
        <v>2021-09-12 Daily post</v>
      </c>
      <c r="D17" s="2">
        <v>45406</v>
      </c>
    </row>
    <row r="18" spans="1:5" x14ac:dyDescent="0.2">
      <c r="A18" t="str">
        <f>HYPERLINK("https://apc.u-paris.fr/Downloads", "https://apc.u-paris.fr/Downloads")</f>
        <v>https://apc.u-paris.fr/Downloads</v>
      </c>
      <c r="B18" t="s">
        <v>5</v>
      </c>
      <c r="C18" t="str">
        <f t="shared" si="1"/>
        <v>2021-09-12 Daily post</v>
      </c>
      <c r="D18" s="2">
        <v>45406</v>
      </c>
    </row>
    <row r="19" spans="1:5" x14ac:dyDescent="0.2">
      <c r="A19" s="3" t="str">
        <f>HYPERLINK("https://www.3dhistech.com/downloads", "https://www.3dhistech.com/downloads")</f>
        <v>https://www.3dhistech.com/downloads</v>
      </c>
      <c r="B19" t="s">
        <v>5</v>
      </c>
      <c r="C19" t="s">
        <v>793</v>
      </c>
      <c r="D19" s="2">
        <v>45406</v>
      </c>
    </row>
    <row r="20" spans="1:5" x14ac:dyDescent="0.2">
      <c r="A20" t="str">
        <f>HYPERLINK("http://www.tfcumc.org/music", "http://www.tfcumc.org/music")</f>
        <v>http://www.tfcumc.org/music</v>
      </c>
      <c r="B20" t="s">
        <v>5</v>
      </c>
      <c r="C20" t="str">
        <f t="shared" si="1"/>
        <v>2021-09-12 Daily post</v>
      </c>
      <c r="D20" s="2">
        <v>45406</v>
      </c>
    </row>
    <row r="21" spans="1:5" x14ac:dyDescent="0.2">
      <c r="A21" t="str">
        <f>HYPERLINK("https://dalemuus.home.xs4all.nl", "https://dalemuus.home.xs4all.nl")</f>
        <v>https://dalemuus.home.xs4all.nl</v>
      </c>
      <c r="B21" t="s">
        <v>5</v>
      </c>
      <c r="C21" t="str">
        <f t="shared" si="1"/>
        <v>2021-09-12 Daily post</v>
      </c>
      <c r="D21" s="2">
        <v>45406</v>
      </c>
    </row>
    <row r="22" spans="1:5" x14ac:dyDescent="0.2">
      <c r="A22" t="str">
        <f>HYPERLINK("http://www.andrelouis.com/media", "http://www.andrelouis.com/media")</f>
        <v>http://www.andrelouis.com/media</v>
      </c>
      <c r="B22" t="s">
        <v>5</v>
      </c>
      <c r="C22" t="str">
        <f t="shared" si="1"/>
        <v>2021-09-12 Daily post</v>
      </c>
      <c r="D22" t="s">
        <v>459</v>
      </c>
    </row>
    <row r="23" spans="1:5" x14ac:dyDescent="0.2">
      <c r="A23" t="str">
        <f>HYPERLINK("http://wateryaml.cn", "http://wateryaml.cn")</f>
        <v>http://wateryaml.cn</v>
      </c>
      <c r="B23" t="s">
        <v>5</v>
      </c>
      <c r="C23" t="str">
        <f t="shared" ref="C23:C29" si="2">HYPERLINK("https://www.reddit.com/r/opendirectories/comments/plkcmr", "2021-09-10 Daily post")</f>
        <v>2021-09-10 Daily post</v>
      </c>
      <c r="D23" t="s">
        <v>261</v>
      </c>
      <c r="E23" t="s">
        <v>61</v>
      </c>
    </row>
    <row r="24" spans="1:5" x14ac:dyDescent="0.2">
      <c r="A24" t="str">
        <f>HYPERLINK("https://rohandrape.net/rd", "https://rohandrape.net/rd")</f>
        <v>https://rohandrape.net/rd</v>
      </c>
      <c r="B24" t="s">
        <v>5</v>
      </c>
      <c r="C24" t="str">
        <f t="shared" si="2"/>
        <v>2021-09-10 Daily post</v>
      </c>
      <c r="D24" t="s">
        <v>261</v>
      </c>
      <c r="E24" t="s">
        <v>61</v>
      </c>
    </row>
    <row r="25" spans="1:5" x14ac:dyDescent="0.2">
      <c r="A25" t="str">
        <f>HYPERLINK("https://www.cs.cmu.edu/~lblum/flac/Handouts_pdf", "https://www.cs.cmu.edu/~lblum/flac/Handouts_pdf")</f>
        <v>https://www.cs.cmu.edu/~lblum/flac/Handouts_pdf</v>
      </c>
      <c r="B25" t="s">
        <v>5</v>
      </c>
      <c r="C25" t="str">
        <f t="shared" si="2"/>
        <v>2021-09-10 Daily post</v>
      </c>
      <c r="D25" s="2">
        <v>45406</v>
      </c>
      <c r="E25" t="s">
        <v>61</v>
      </c>
    </row>
    <row r="26" spans="1:5" x14ac:dyDescent="0.2">
      <c r="A26" s="3" t="str">
        <f>HYPERLINK("http://www.lindberg.no/hires", "http://www.lindberg.no/hires")</f>
        <v>http://www.lindberg.no/hires</v>
      </c>
      <c r="B26" t="s">
        <v>5</v>
      </c>
      <c r="C26" t="str">
        <f t="shared" si="2"/>
        <v>2021-09-10 Daily post</v>
      </c>
      <c r="D26" s="2">
        <v>45406</v>
      </c>
      <c r="E26" t="s">
        <v>61</v>
      </c>
    </row>
    <row r="27" spans="1:5" x14ac:dyDescent="0.2">
      <c r="A27" t="str">
        <f>HYPERLINK("https://samples.ffmpeg.org", "https://samples.ffmpeg.org")</f>
        <v>https://samples.ffmpeg.org</v>
      </c>
      <c r="B27" t="s">
        <v>5</v>
      </c>
      <c r="C27" t="str">
        <f t="shared" si="2"/>
        <v>2021-09-10 Daily post</v>
      </c>
      <c r="D27" t="s">
        <v>261</v>
      </c>
      <c r="E27" t="s">
        <v>61</v>
      </c>
    </row>
    <row r="28" spans="1:5" x14ac:dyDescent="0.2">
      <c r="A28" t="str">
        <f>HYPERLINK("https://files.valhallagameplays.info", "https://files.valhallagameplays.info")</f>
        <v>https://files.valhallagameplays.info</v>
      </c>
      <c r="B28" t="s">
        <v>5</v>
      </c>
      <c r="C28" t="str">
        <f t="shared" si="2"/>
        <v>2021-09-10 Daily post</v>
      </c>
      <c r="D28" t="s">
        <v>261</v>
      </c>
      <c r="E28" t="s">
        <v>61</v>
      </c>
    </row>
    <row r="29" spans="1:5" x14ac:dyDescent="0.2">
      <c r="A29" t="str">
        <f>HYPERLINK("https://www.nlnetlabs.nl/downloads", "https://www.nlnetlabs.nl/downloads")</f>
        <v>https://www.nlnetlabs.nl/downloads</v>
      </c>
      <c r="B29" t="s">
        <v>5</v>
      </c>
      <c r="C29" t="str">
        <f t="shared" si="2"/>
        <v>2021-09-10 Daily post</v>
      </c>
      <c r="D29" t="s">
        <v>261</v>
      </c>
      <c r="E29" t="s">
        <v>61</v>
      </c>
    </row>
    <row r="30" spans="1:5" x14ac:dyDescent="0.2">
      <c r="A30" t="str">
        <f>HYPERLINK("http://yiffing.in/images", "http://yiffing.in/images")</f>
        <v>http://yiffing.in/images</v>
      </c>
      <c r="B30" t="s">
        <v>5</v>
      </c>
      <c r="C30" t="str">
        <f>HYPERLINK("https://www.reddit.com/r/opendirectories/comments/52mnou", "Pretty Big (wink) open directory for my furry friends! NSFW")</f>
        <v>Pretty Big (wink) open directory for my furry friends! NSFW</v>
      </c>
      <c r="D30" t="s">
        <v>713</v>
      </c>
    </row>
    <row r="31" spans="1:5" x14ac:dyDescent="0.2">
      <c r="A31" t="str">
        <f>HYPERLINK("http://dimwitdog.com/wp-content/uploads", "http://dimwitdog.com/wp-content/uploads")</f>
        <v>http://dimwitdog.com/wp-content/uploads</v>
      </c>
      <c r="B31" t="s">
        <v>5</v>
      </c>
      <c r="C31" t="str">
        <f>HYPERLINK("https://www.reddit.com/r/opendirectories/comments/pind27", "Furry Artist Page [nsfw]")</f>
        <v>Furry Artist Page [nsfw]</v>
      </c>
      <c r="D31" t="s">
        <v>714</v>
      </c>
    </row>
    <row r="32" spans="1:5" x14ac:dyDescent="0.2">
      <c r="A32" t="str">
        <f>HYPERLINK("https://hakase.lilprincess.xyz/storage", "https://hakase.lilprincess.xyz/storage")</f>
        <v>https://hakase.lilprincess.xyz/storage</v>
      </c>
      <c r="B32" t="s">
        <v>5</v>
      </c>
      <c r="C32" t="str">
        <f>HYPERLINK("https://www.reddit.com/r/opendirectories/comments/owjba3", "[NSFW] Music Videos, Music, TV Shows, Android Apps, OnlyFans Rips")</f>
        <v>[NSFW] Music Videos, Music, TV Shows, Android Apps, OnlyFans Rips</v>
      </c>
      <c r="D32" t="s">
        <v>18</v>
      </c>
    </row>
    <row r="33" spans="1:5" x14ac:dyDescent="0.2">
      <c r="A33" t="str">
        <f>HYPERLINK("https://hot-porn.org/wp-content/gallery", "https://hot-porn.org/wp-content/gallery")</f>
        <v>https://hot-porn.org/wp-content/gallery</v>
      </c>
      <c r="B33" t="s">
        <v>5</v>
      </c>
      <c r="C33" t="str">
        <f>HYPERLINK("https://www.reddit.com/r/opendirectories/comments/p5e2yr", "Pron stills (nsfw)")</f>
        <v>Pron stills (nsfw)</v>
      </c>
      <c r="D33" t="s">
        <v>517</v>
      </c>
    </row>
    <row r="34" spans="1:5" x14ac:dyDescent="0.2">
      <c r="A34" t="str">
        <f>HYPERLINK("http://snowcloude.com/~jurrel/MLP", "http://snowcloude.com/~jurrel/MLP")</f>
        <v>http://snowcloude.com/~jurrel/MLP</v>
      </c>
      <c r="B34" t="s">
        <v>5</v>
      </c>
      <c r="C34" t="str">
        <f>HYPERLINK("https://www.reddit.com/r/opendirectories/comments/owjehi", "[NSFW] MyLittlePony &amp;amp; Furry Stuff")</f>
        <v>[NSFW] MyLittlePony &amp;amp; Furry Stuff</v>
      </c>
      <c r="D34" t="s">
        <v>18</v>
      </c>
    </row>
    <row r="35" spans="1:5" x14ac:dyDescent="0.2">
      <c r="A35" t="str">
        <f>HYPERLINK("https://193.30.240.8", "https://193.30.240.8")</f>
        <v>https://193.30.240.8</v>
      </c>
      <c r="B35" t="s">
        <v>5</v>
      </c>
      <c r="C35" t="str">
        <f>HYPERLINK("https://www.reddit.com/r/opendirectories/comments/ouhnqy", "Stuff. Not been fully vetted by me so maybe NSFW ..")</f>
        <v>Stuff. Not been fully vetted by me so maybe NSFW ..</v>
      </c>
      <c r="D35" t="s">
        <v>19</v>
      </c>
    </row>
    <row r="36" spans="1:5" x14ac:dyDescent="0.2">
      <c r="A36" t="str">
        <f>HYPERLINK("http://www.watt-up.com/j_gallery", "http://www.watt-up.com/j_gallery")</f>
        <v>http://www.watt-up.com/j_gallery</v>
      </c>
      <c r="B36" t="s">
        <v>5</v>
      </c>
      <c r="C36" t="str">
        <f>HYPERLINK("https://www.reddit.com/r/opendirectories/comments/otew2c", "[NSFW] Disturbingly large amount of NSFW Celeb images/movies")</f>
        <v>[NSFW] Disturbingly large amount of NSFW Celeb images/movies</v>
      </c>
      <c r="D36" t="s">
        <v>21</v>
      </c>
    </row>
    <row r="37" spans="1:5" x14ac:dyDescent="0.2">
      <c r="A37" t="str">
        <f>HYPERLINK("http://173.249.45.226", "http://173.249.45.226")</f>
        <v>http://173.249.45.226</v>
      </c>
      <c r="B37" t="s">
        <v>5</v>
      </c>
      <c r="C37" t="str">
        <f>HYPERLINK("https://www.reddit.com/r/opendirectories/comments/jsa626", "JAV Galore, Hentai, Amat, ...")</f>
        <v>JAV Galore, Hentai, Amat, ...</v>
      </c>
      <c r="D37" t="s">
        <v>266</v>
      </c>
    </row>
    <row r="38" spans="1:5" x14ac:dyDescent="0.2">
      <c r="A38" t="str">
        <f>HYPERLINK("http://135.181.113.216:9000", "http://135.181.113.216:9000")</f>
        <v>http://135.181.113.216:9000</v>
      </c>
      <c r="B38" t="s">
        <v>5</v>
      </c>
      <c r="C38" t="str">
        <f>HYPERLINK("https://www.reddit.com/r/opendirectories/comments/o5n7qj", "Movies, tvshows, music, anime and ebooks")</f>
        <v>Movies, tvshows, music, anime and ebooks</v>
      </c>
      <c r="D38" t="s">
        <v>268</v>
      </c>
      <c r="E38" t="s">
        <v>14</v>
      </c>
    </row>
    <row r="39" spans="1:5" x14ac:dyDescent="0.2">
      <c r="A39" t="str">
        <f>HYPERLINK("https://simpsons.porn/tag", "https://simpsons.porn/tag")</f>
        <v>https://simpsons.porn/tag</v>
      </c>
      <c r="B39" t="s">
        <v>5</v>
      </c>
      <c r="C39" t="str">
        <f>HYPERLINK("https://www.reddit.com/r/opendirectories/comments/o3prrd", "Tagged index of Simpsons porn NSFW")</f>
        <v>Tagged index of Simpsons porn NSFW</v>
      </c>
      <c r="D39" t="s">
        <v>25</v>
      </c>
    </row>
    <row r="40" spans="1:5" x14ac:dyDescent="0.2">
      <c r="A40" t="str">
        <f>HYPERLINK("http://14.7.238.154", "http://14.7.238.154")</f>
        <v>http://14.7.238.154</v>
      </c>
      <c r="B40" t="s">
        <v>5</v>
      </c>
      <c r="C40" t="str">
        <f>HYPERLINK("https://www.reddit.com/r/opendirectories/comments/nv0oso", "Index of billboard top 100 year end hits 1979")</f>
        <v>Index of billboard top 100 year end hits 1979</v>
      </c>
      <c r="D40" t="s">
        <v>366</v>
      </c>
    </row>
    <row r="41" spans="1:5" x14ac:dyDescent="0.2">
      <c r="A41" t="str">
        <f>HYPERLINK("http://ns3745249.ip-213-32-1.eu", "http://ns3745249.ip-213-32-1.eu")</f>
        <v>http://ns3745249.ip-213-32-1.eu</v>
      </c>
      <c r="B41" t="s">
        <v>5</v>
      </c>
      <c r="C41" t="str">
        <f>HYPERLINK("https://www.reddit.com/r/opendirectories/comments/nt642o", "Hem, this is for my friends")</f>
        <v>Hem, this is for my friends</v>
      </c>
      <c r="D41" t="s">
        <v>269</v>
      </c>
    </row>
    <row r="42" spans="1:5" x14ac:dyDescent="0.2">
      <c r="A42" t="str">
        <f>HYPERLINK("http://178.33.202.131", "http://178.33.202.131")</f>
        <v>http://178.33.202.131</v>
      </c>
      <c r="B42" t="s">
        <v>5</v>
      </c>
      <c r="C42" t="str">
        <f>HYPERLINK("https://www.reddit.com/r/opendirectories/comments/nt642o", "Hem, this is for my friends")</f>
        <v>Hem, this is for my friends</v>
      </c>
      <c r="D42" t="s">
        <v>269</v>
      </c>
    </row>
    <row r="43" spans="1:5" x14ac:dyDescent="0.2">
      <c r="A43" t="str">
        <f>HYPERLINK("http://54.39.157.211", "http://54.39.157.211")</f>
        <v>http://54.39.157.211</v>
      </c>
      <c r="B43" t="s">
        <v>5</v>
      </c>
      <c r="C43" t="str">
        <f>HYPERLINK("https://www.reddit.com/r/opendirectories/comments/jsa66s", "Latin movies/series or movies/series dubbed/subtitled in [POR][SPA] - Part 1")</f>
        <v>Latin movies/series or movies/series dubbed/subtitled in [POR][SPA] - Part 1</v>
      </c>
      <c r="D43" t="s">
        <v>266</v>
      </c>
    </row>
    <row r="44" spans="1:5" x14ac:dyDescent="0.2">
      <c r="A44" t="str">
        <f>HYPERLINK("http://213.32.1.25", "http://213.32.1.25")</f>
        <v>http://213.32.1.25</v>
      </c>
      <c r="B44" t="s">
        <v>5</v>
      </c>
      <c r="C44" t="str">
        <f>HYPERLINK("https://www.reddit.com/r/opendirectories/comments/nsh9j0", "Media")</f>
        <v>Media</v>
      </c>
      <c r="D44" t="s">
        <v>269</v>
      </c>
    </row>
    <row r="45" spans="1:5" x14ac:dyDescent="0.2">
      <c r="A45" t="str">
        <f>HYPERLINK("http://dl2.doostihaa.net/Animation", "http://dl2.doostihaa.net/Animation")</f>
        <v>http://dl2.doostihaa.net/Animation</v>
      </c>
      <c r="B45" t="s">
        <v>5</v>
      </c>
      <c r="C45" t="str">
        <f t="shared" ref="C45:C53" si="3">HYPERLINK("https://www.reddit.com/r/opendirectories/comments/nsa8yg", "A mixed bag of asian Animes/Mangas ... and some movies, essentially in [JAP][KOR] and maybe some [ENG] subs.")</f>
        <v>A mixed bag of asian Animes/Mangas ... and some movies, essentially in [JAP][KOR] and maybe some [ENG] subs.</v>
      </c>
      <c r="D45" t="s">
        <v>270</v>
      </c>
      <c r="E45" t="s">
        <v>14</v>
      </c>
    </row>
    <row r="46" spans="1:5" x14ac:dyDescent="0.2">
      <c r="A46" t="str">
        <f>HYPERLINK("https://208.113.165.59", "https://208.113.165.59")</f>
        <v>https://208.113.165.59</v>
      </c>
      <c r="B46" t="s">
        <v>5</v>
      </c>
      <c r="C46" t="str">
        <f t="shared" si="3"/>
        <v>A mixed bag of asian Animes/Mangas ... and some movies, essentially in [JAP][KOR] and maybe some [ENG] subs.</v>
      </c>
      <c r="D46" t="s">
        <v>270</v>
      </c>
      <c r="E46" t="s">
        <v>14</v>
      </c>
    </row>
    <row r="47" spans="1:5" x14ac:dyDescent="0.2">
      <c r="A47" t="str">
        <f>HYPERLINK("http://176.36.86.211", "http://176.36.86.211")</f>
        <v>http://176.36.86.211</v>
      </c>
      <c r="B47" t="s">
        <v>5</v>
      </c>
      <c r="C47" t="str">
        <f t="shared" si="3"/>
        <v>A mixed bag of asian Animes/Mangas ... and some movies, essentially in [JAP][KOR] and maybe some [ENG] subs.</v>
      </c>
      <c r="D47" t="s">
        <v>270</v>
      </c>
      <c r="E47" t="s">
        <v>14</v>
      </c>
    </row>
    <row r="48" spans="1:5" x14ac:dyDescent="0.2">
      <c r="A48" t="str">
        <f>HYPERLINK("https://166.84.7.155", "https://166.84.7.155")</f>
        <v>https://166.84.7.155</v>
      </c>
      <c r="B48" t="s">
        <v>5</v>
      </c>
      <c r="C48" t="str">
        <f t="shared" si="3"/>
        <v>A mixed bag of asian Animes/Mangas ... and some movies, essentially in [JAP][KOR] and maybe some [ENG] subs.</v>
      </c>
      <c r="D48" t="s">
        <v>270</v>
      </c>
      <c r="E48" t="s">
        <v>14</v>
      </c>
    </row>
    <row r="49" spans="1:5" x14ac:dyDescent="0.2">
      <c r="A49" t="str">
        <f>HYPERLINK("http://ns3309227.ip-178-32-222.eu", "http://ns3309227.ip-178-32-222.eu")</f>
        <v>http://ns3309227.ip-178-32-222.eu</v>
      </c>
      <c r="B49" t="s">
        <v>5</v>
      </c>
      <c r="C49" t="str">
        <f t="shared" si="3"/>
        <v>A mixed bag of asian Animes/Mangas ... and some movies, essentially in [JAP][KOR] and maybe some [ENG] subs.</v>
      </c>
      <c r="D49" t="s">
        <v>270</v>
      </c>
      <c r="E49" t="s">
        <v>14</v>
      </c>
    </row>
    <row r="50" spans="1:5" x14ac:dyDescent="0.2">
      <c r="A50" t="str">
        <f>HYPERLINK("https://73.50.3.208", "https://73.50.3.208")</f>
        <v>https://73.50.3.208</v>
      </c>
      <c r="B50" t="s">
        <v>5</v>
      </c>
      <c r="C50" t="str">
        <f t="shared" si="3"/>
        <v>A mixed bag of asian Animes/Mangas ... and some movies, essentially in [JAP][KOR] and maybe some [ENG] subs.</v>
      </c>
      <c r="D50" t="s">
        <v>270</v>
      </c>
      <c r="E50" t="s">
        <v>14</v>
      </c>
    </row>
    <row r="51" spans="1:5" x14ac:dyDescent="0.2">
      <c r="A51" t="str">
        <f>HYPERLINK("http://zdlo.oni2.net", "http://zdlo.oni2.net")</f>
        <v>http://zdlo.oni2.net</v>
      </c>
      <c r="B51" t="s">
        <v>5</v>
      </c>
      <c r="C51" t="str">
        <f t="shared" si="3"/>
        <v>A mixed bag of asian Animes/Mangas ... and some movies, essentially in [JAP][KOR] and maybe some [ENG] subs.</v>
      </c>
      <c r="D51" t="s">
        <v>270</v>
      </c>
      <c r="E51" t="s">
        <v>14</v>
      </c>
    </row>
    <row r="52" spans="1:5" x14ac:dyDescent="0.2">
      <c r="A52" t="str">
        <f>HYPERLINK("https://192.99.0.65", "https://192.99.0.65")</f>
        <v>https://192.99.0.65</v>
      </c>
      <c r="B52" t="s">
        <v>5</v>
      </c>
      <c r="C52" t="str">
        <f t="shared" si="3"/>
        <v>A mixed bag of asian Animes/Mangas ... and some movies, essentially in [JAP][KOR] and maybe some [ENG] subs.</v>
      </c>
      <c r="D52" t="s">
        <v>270</v>
      </c>
      <c r="E52" t="s">
        <v>14</v>
      </c>
    </row>
    <row r="53" spans="1:5" x14ac:dyDescent="0.2">
      <c r="A53" t="str">
        <f>HYPERLINK("http://221.157.97.238", "http://221.157.97.238")</f>
        <v>http://221.157.97.238</v>
      </c>
      <c r="B53" t="s">
        <v>5</v>
      </c>
      <c r="C53" t="str">
        <f t="shared" si="3"/>
        <v>A mixed bag of asian Animes/Mangas ... and some movies, essentially in [JAP][KOR] and maybe some [ENG] subs.</v>
      </c>
      <c r="D53" t="s">
        <v>270</v>
      </c>
      <c r="E53" t="s">
        <v>14</v>
      </c>
    </row>
    <row r="54" spans="1:5" x14ac:dyDescent="0.2">
      <c r="A54" t="str">
        <f>HYPERLINK("http://prisoner627.gegenees.feralhosting.com", "http://prisoner627.gegenees.feralhosting.com")</f>
        <v>http://prisoner627.gegenees.feralhosting.com</v>
      </c>
      <c r="B54" t="s">
        <v>5</v>
      </c>
      <c r="C54" t="str">
        <f t="shared" ref="C54:C62" si="4">HYPERLINK("https://www.reddit.com/r/opendirectories/comments/ns2wcv", "Movies,Series... in English [ENG] - Part 5")</f>
        <v>Movies,Series... in English [ENG] - Part 5</v>
      </c>
      <c r="D54" t="s">
        <v>270</v>
      </c>
      <c r="E54" t="s">
        <v>14</v>
      </c>
    </row>
    <row r="55" spans="1:5" x14ac:dyDescent="0.2">
      <c r="A55" t="str">
        <f>HYPERLINK("http://37.187.98.179", "http://37.187.98.179")</f>
        <v>http://37.187.98.179</v>
      </c>
      <c r="B55" t="s">
        <v>5</v>
      </c>
      <c r="C55" t="str">
        <f t="shared" si="4"/>
        <v>Movies,Series... in English [ENG] - Part 5</v>
      </c>
      <c r="D55" t="s">
        <v>270</v>
      </c>
      <c r="E55" t="s">
        <v>14</v>
      </c>
    </row>
    <row r="56" spans="1:5" x14ac:dyDescent="0.2">
      <c r="A56" t="str">
        <f>HYPERLINK("http://207.180.202.23", "http://207.180.202.23")</f>
        <v>http://207.180.202.23</v>
      </c>
      <c r="B56" t="s">
        <v>5</v>
      </c>
      <c r="C56" t="str">
        <f t="shared" si="4"/>
        <v>Movies,Series... in English [ENG] - Part 5</v>
      </c>
      <c r="D56" t="s">
        <v>270</v>
      </c>
      <c r="E56" t="s">
        <v>14</v>
      </c>
    </row>
    <row r="57" spans="1:5" x14ac:dyDescent="0.2">
      <c r="A57" t="str">
        <f>HYPERLINK("http://dl1.doostihaa.com/files/Doc", "http://dl1.doostihaa.com/files/Doc")</f>
        <v>http://dl1.doostihaa.com/files/Doc</v>
      </c>
      <c r="B57" t="s">
        <v>5</v>
      </c>
      <c r="C57" t="str">
        <f t="shared" si="4"/>
        <v>Movies,Series... in English [ENG] - Part 5</v>
      </c>
      <c r="D57" t="s">
        <v>270</v>
      </c>
      <c r="E57" t="s">
        <v>14</v>
      </c>
    </row>
    <row r="58" spans="1:5" x14ac:dyDescent="0.2">
      <c r="A58" t="str">
        <f>HYPERLINK("http://134.122.55.201", "http://134.122.55.201")</f>
        <v>http://134.122.55.201</v>
      </c>
      <c r="B58" t="s">
        <v>5</v>
      </c>
      <c r="C58" t="str">
        <f t="shared" si="4"/>
        <v>Movies,Series... in English [ENG] - Part 5</v>
      </c>
      <c r="D58" t="s">
        <v>270</v>
      </c>
      <c r="E58" t="s">
        <v>14</v>
      </c>
    </row>
    <row r="59" spans="1:5" x14ac:dyDescent="0.2">
      <c r="A59" t="str">
        <f>HYPERLINK("http://167.114.174.132:9092", "http://167.114.174.132:9092")</f>
        <v>http://167.114.174.132:9092</v>
      </c>
      <c r="B59" t="s">
        <v>5</v>
      </c>
      <c r="C59" t="str">
        <f t="shared" si="4"/>
        <v>Movies,Series... in English [ENG] - Part 5</v>
      </c>
      <c r="D59" t="s">
        <v>270</v>
      </c>
      <c r="E59" t="s">
        <v>14</v>
      </c>
    </row>
    <row r="60" spans="1:5" x14ac:dyDescent="0.2">
      <c r="A60" t="str">
        <f>HYPERLINK("http://195.154.235.161:8888", "http://195.154.235.161:8888")</f>
        <v>http://195.154.235.161:8888</v>
      </c>
      <c r="B60" t="s">
        <v>5</v>
      </c>
      <c r="C60" t="str">
        <f t="shared" si="4"/>
        <v>Movies,Series... in English [ENG] - Part 5</v>
      </c>
      <c r="D60" t="s">
        <v>270</v>
      </c>
      <c r="E60" t="s">
        <v>14</v>
      </c>
    </row>
    <row r="61" spans="1:5" x14ac:dyDescent="0.2">
      <c r="A61" t="str">
        <f>HYPERLINK("http://207.96.127.51:8800", "http://207.96.127.51:8800")</f>
        <v>http://207.96.127.51:8800</v>
      </c>
      <c r="B61" t="s">
        <v>5</v>
      </c>
      <c r="C61" t="str">
        <f t="shared" si="4"/>
        <v>Movies,Series... in English [ENG] - Part 5</v>
      </c>
      <c r="D61" t="s">
        <v>270</v>
      </c>
      <c r="E61" t="s">
        <v>14</v>
      </c>
    </row>
    <row r="62" spans="1:5" x14ac:dyDescent="0.2">
      <c r="A62" t="str">
        <f>HYPERLINK("http://167.86.72.208", "http://167.86.72.208")</f>
        <v>http://167.86.72.208</v>
      </c>
      <c r="B62" t="s">
        <v>5</v>
      </c>
      <c r="C62" t="str">
        <f t="shared" si="4"/>
        <v>Movies,Series... in English [ENG] - Part 5</v>
      </c>
      <c r="D62" t="s">
        <v>270</v>
      </c>
      <c r="E62" t="s">
        <v>14</v>
      </c>
    </row>
    <row r="63" spans="1:5" x14ac:dyDescent="0.2">
      <c r="A63" t="str">
        <f>HYPERLINK("https://www.textweapon.com/wp-content/uploads", "https://www.textweapon.com/wp-content/uploads")</f>
        <v>https://www.textweapon.com/wp-content/uploads</v>
      </c>
      <c r="B63" t="s">
        <v>5</v>
      </c>
      <c r="C63" t="str">
        <f>HYPERLINK("https://www.reddit.com/r/opendirectories/comments/nqtfk3", "Well I dunno'")</f>
        <v>Well I dunno'</v>
      </c>
      <c r="D63" t="s">
        <v>28</v>
      </c>
    </row>
    <row r="64" spans="1:5" x14ac:dyDescent="0.2">
      <c r="A64" t="str">
        <f>HYPERLINK("https://www.wells.gov.uk/uploads/documents", "https://www.wells.gov.uk/uploads/documents")</f>
        <v>https://www.wells.gov.uk/uploads/documents</v>
      </c>
      <c r="B64" t="s">
        <v>5</v>
      </c>
      <c r="C64" t="str">
        <f>HYPERLINK("https://www.reddit.com/r/opendirectories/comments/nqt7aw", "XXX")</f>
        <v>XXX</v>
      </c>
      <c r="D64" t="s">
        <v>28</v>
      </c>
    </row>
    <row r="65" spans="1:5" x14ac:dyDescent="0.2">
      <c r="A65" t="str">
        <f>HYPERLINK("http://dl1.doostihaa.com/files/Wallpaper", "http://dl1.doostihaa.com/files/Wallpaper")</f>
        <v>http://dl1.doostihaa.com/files/Wallpaper</v>
      </c>
      <c r="B65" t="s">
        <v>5</v>
      </c>
      <c r="C65" t="str">
        <f>HYPERLINK("https://www.reddit.com/r/opendirectories/comments/nqj4ya", "Wallpapers...")</f>
        <v>Wallpapers...</v>
      </c>
      <c r="D65" t="s">
        <v>28</v>
      </c>
    </row>
    <row r="66" spans="1:5" x14ac:dyDescent="0.2">
      <c r="A66" t="str">
        <f>HYPERLINK("http://tubeuploads.bang.com", "http://tubeuploads.bang.com")</f>
        <v>http://tubeuploads.bang.com</v>
      </c>
      <c r="B66" t="s">
        <v>5</v>
      </c>
      <c r="C66" t="str">
        <f>HYPERLINK("https://www.reddit.com/r/opendirectories/comments/noand3", "NSFW many Compilations 1G ish each")</f>
        <v>NSFW many Compilations 1G ish each</v>
      </c>
      <c r="D66" t="s">
        <v>271</v>
      </c>
    </row>
    <row r="67" spans="1:5" x14ac:dyDescent="0.2">
      <c r="A67" t="str">
        <f>HYPERLINK("http://media.lenovo.ru/Files", "http://media.lenovo.ru/Files")</f>
        <v>http://media.lenovo.ru/Files</v>
      </c>
      <c r="B67" t="s">
        <v>5</v>
      </c>
      <c r="C67" t="str">
        <f>HYPERLINK("https://www.reddit.com/r/opendirectories/comments/nkajd9", "NICE COLLECTION")</f>
        <v>NICE COLLECTION</v>
      </c>
      <c r="D67" t="s">
        <v>375</v>
      </c>
      <c r="E67" t="s">
        <v>61</v>
      </c>
    </row>
    <row r="68" spans="1:5" x14ac:dyDescent="0.2">
      <c r="A68" t="str">
        <f>HYPERLINK("http://leone74.thoon.feralhosting.com", "http://leone74.thoon.feralhosting.com")</f>
        <v>http://leone74.thoon.feralhosting.com</v>
      </c>
      <c r="B68" t="s">
        <v>5</v>
      </c>
      <c r="C68" t="str">
        <f>HYPERLINK("https://www.reddit.com/r/opendirectories/comments/nkajd9", "NICE COLLECTION")</f>
        <v>NICE COLLECTION</v>
      </c>
      <c r="D68" t="s">
        <v>375</v>
      </c>
      <c r="E68" t="s">
        <v>61</v>
      </c>
    </row>
    <row r="69" spans="1:5" x14ac:dyDescent="0.2">
      <c r="A69" t="str">
        <f>HYPERLINK("http://59.152.105.235/Disk-1", "http://59.152.105.235/Disk-1")</f>
        <v>http://59.152.105.235/Disk-1</v>
      </c>
      <c r="B69" t="s">
        <v>5</v>
      </c>
      <c r="C69" t="str">
        <f>HYPERLINK("https://www.reddit.com/r/opendirectories/comments/nkajd9", "NICE COLLECTION")</f>
        <v>NICE COLLECTION</v>
      </c>
      <c r="D69" t="s">
        <v>375</v>
      </c>
      <c r="E69" t="s">
        <v>61</v>
      </c>
    </row>
    <row r="70" spans="1:5" x14ac:dyDescent="0.2">
      <c r="A70" t="str">
        <f>HYPERLINK("https://work.rezom.eu", "https://work.rezom.eu")</f>
        <v>https://work.rezom.eu</v>
      </c>
      <c r="B70" t="s">
        <v>5</v>
      </c>
      <c r="C70" t="str">
        <f>HYPERLINK("https://www.reddit.com/r/opendirectories/comments/nkajd9", "NICE COLLECTION")</f>
        <v>NICE COLLECTION</v>
      </c>
      <c r="D70" t="s">
        <v>375</v>
      </c>
      <c r="E70" t="s">
        <v>61</v>
      </c>
    </row>
    <row r="71" spans="1:5" x14ac:dyDescent="0.2">
      <c r="A71" t="str">
        <f>HYPERLINK("http://www.artemka.spb.ru", "http://www.artemka.spb.ru")</f>
        <v>http://www.artemka.spb.ru</v>
      </c>
      <c r="B71" t="s">
        <v>5</v>
      </c>
      <c r="C71" t="str">
        <f>HYPERLINK("https://www.reddit.com/r/opendirectories/comments/nkajd9", "NICE COLLECTION")</f>
        <v>NICE COLLECTION</v>
      </c>
      <c r="D71" t="s">
        <v>375</v>
      </c>
      <c r="E71" t="s">
        <v>61</v>
      </c>
    </row>
    <row r="72" spans="1:5" x14ac:dyDescent="0.2">
      <c r="A72" t="str">
        <f>HYPERLINK("https://valvearchive.com", "https://valvearchive.com")</f>
        <v>https://valvearchive.com</v>
      </c>
      <c r="B72" t="s">
        <v>5</v>
      </c>
      <c r="C72" t="str">
        <f>HYPERLINK("https://www.reddit.com/r/opendirectories/comments/gt4tt9", "Valve Archive Fan OD")</f>
        <v>Valve Archive Fan OD</v>
      </c>
      <c r="D72" t="s">
        <v>379</v>
      </c>
      <c r="E72" t="s">
        <v>61</v>
      </c>
    </row>
    <row r="73" spans="1:5" x14ac:dyDescent="0.2">
      <c r="A73" t="str">
        <f>HYPERLINK("http://37.187.21.37:8080", "http://37.187.21.37:8080")</f>
        <v>http://37.187.21.37:8080</v>
      </c>
      <c r="B73" t="s">
        <v>5</v>
      </c>
      <c r="C73" t="str">
        <f>HYPERLINK("https://www.reddit.com/r/opendirectories/comments/njrq7b", "Movies And Series, Some of them are in French")</f>
        <v>Movies And Series, Some of them are in French</v>
      </c>
      <c r="D73" t="s">
        <v>380</v>
      </c>
      <c r="E73" t="s">
        <v>51</v>
      </c>
    </row>
    <row r="74" spans="1:5" x14ac:dyDescent="0.2">
      <c r="A74" t="str">
        <f>HYPERLINK("http://salepute.fr", "http://salepute.fr")</f>
        <v>http://salepute.fr</v>
      </c>
      <c r="B74" t="s">
        <v>5</v>
      </c>
      <c r="C74" t="str">
        <f>HYPERLINK("https://www.reddit.com/r/opendirectories/comments/hpeikt", "NSFW Funnies, I don't know how to describe this")</f>
        <v>NSFW Funnies, I don't know how to describe this</v>
      </c>
      <c r="D74" t="s">
        <v>272</v>
      </c>
    </row>
    <row r="75" spans="1:5" x14ac:dyDescent="0.2">
      <c r="A75" t="str">
        <f>HYPERLINK("https://wh0rd.org", "https://wh0rd.org")</f>
        <v>https://wh0rd.org</v>
      </c>
      <c r="B75" t="s">
        <v>5</v>
      </c>
      <c r="C75" t="str">
        <f>HYPERLINK("https://www.reddit.com/r/opendirectories/comments/n0yhso", "[NSFW]: A Google Engineers monument to the old internet, mostly random comics, pics, media.")</f>
        <v>[NSFW]: A Google Engineers monument to the old internet, mostly random comics, pics, media.</v>
      </c>
      <c r="D75" t="s">
        <v>674</v>
      </c>
    </row>
    <row r="76" spans="1:5" x14ac:dyDescent="0.2">
      <c r="A76" t="str">
        <f>HYPERLINK("http://5.196.70.23:3000", "http://5.196.70.23:3000")</f>
        <v>http://5.196.70.23:3000</v>
      </c>
      <c r="B76" t="s">
        <v>5</v>
      </c>
      <c r="C76" t="str">
        <f>HYPERLINK("https://www.reddit.com/r/opendirectories/comments/n00szz", "Mostly movies from 1930's and 1940's NSFW")</f>
        <v>Mostly movies from 1930's and 1940's NSFW</v>
      </c>
      <c r="D76" t="s">
        <v>382</v>
      </c>
    </row>
    <row r="77" spans="1:5" x14ac:dyDescent="0.2">
      <c r="A77" t="str">
        <f>HYPERLINK("http://lutinmalin.demeter.feralhosting.com", "http://lutinmalin.demeter.feralhosting.com")</f>
        <v>http://lutinmalin.demeter.feralhosting.com</v>
      </c>
      <c r="B77" t="s">
        <v>5</v>
      </c>
      <c r="C77" t="str">
        <f>HYPERLINK("https://www.reddit.com/r/opendirectories/comments/mkywfa", "500 greatest song!")</f>
        <v>500 greatest song!</v>
      </c>
      <c r="D77" t="s">
        <v>386</v>
      </c>
    </row>
    <row r="78" spans="1:5" x14ac:dyDescent="0.2">
      <c r="A78" t="str">
        <f>HYPERLINK("http://archives.1wise.es", "http://archives.1wise.es")</f>
        <v>http://archives.1wise.es</v>
      </c>
      <c r="B78" t="s">
        <v>5</v>
      </c>
      <c r="C78" t="str">
        <f>HYPERLINK("https://www.reddit.com/r/opendirectories/comments/mks6a3", "Some web wonderings I did today")</f>
        <v>Some web wonderings I did today</v>
      </c>
      <c r="D78" t="s">
        <v>274</v>
      </c>
    </row>
    <row r="79" spans="1:5" x14ac:dyDescent="0.2">
      <c r="A79" t="str">
        <f>HYPERLINK("http://69.164.208.4/files", "http://69.164.208.4/files")</f>
        <v>http://69.164.208.4/files</v>
      </c>
      <c r="B79" t="s">
        <v>5</v>
      </c>
      <c r="C79" t="str">
        <f>HYPERLINK("https://www.reddit.com/r/opendirectories/comments/mks6a3", "Some web wonderings I did today")</f>
        <v>Some web wonderings I did today</v>
      </c>
      <c r="D79" t="s">
        <v>274</v>
      </c>
    </row>
    <row r="80" spans="1:5" x14ac:dyDescent="0.2">
      <c r="A80" t="str">
        <f>HYPERLINK("http://pauladaunt.com/books", "http://pauladaunt.com/books")</f>
        <v>http://pauladaunt.com/books</v>
      </c>
      <c r="B80" t="s">
        <v>5</v>
      </c>
      <c r="C80" t="str">
        <f>HYPERLINK("https://www.reddit.com/r/opendirectories/comments/3dn84u", "Random Books (.txt and .pdf)")</f>
        <v>Random Books (.txt and .pdf)</v>
      </c>
      <c r="D80" t="s">
        <v>275</v>
      </c>
    </row>
    <row r="81" spans="1:4" x14ac:dyDescent="0.2">
      <c r="A81" t="str">
        <f>HYPERLINK("http://www.chiark.greenend.org.uk", "http://www.chiark.greenend.org.uk")</f>
        <v>http://www.chiark.greenend.org.uk</v>
      </c>
      <c r="B81" t="s">
        <v>5</v>
      </c>
      <c r="C81" t="str">
        <f t="shared" ref="C81:C88" si="5">HYPERLINK("https://www.reddit.com/r/opendirectories/comments/mks6a3", "Some web wonderings I did today")</f>
        <v>Some web wonderings I did today</v>
      </c>
      <c r="D81" t="s">
        <v>274</v>
      </c>
    </row>
    <row r="82" spans="1:4" x14ac:dyDescent="0.2">
      <c r="A82" t="str">
        <f>HYPERLINK("http://www.st-marks.kent.sch.uk/wp-content/uploads", "http://www.st-marks.kent.sch.uk/wp-content/uploads")</f>
        <v>http://www.st-marks.kent.sch.uk/wp-content/uploads</v>
      </c>
      <c r="B82" t="s">
        <v>5</v>
      </c>
      <c r="C82" t="str">
        <f t="shared" si="5"/>
        <v>Some web wonderings I did today</v>
      </c>
      <c r="D82" t="s">
        <v>274</v>
      </c>
    </row>
    <row r="83" spans="1:4" x14ac:dyDescent="0.2">
      <c r="A83" t="str">
        <f>HYPERLINK("http://www.blackkat.net/tintin", "http://www.blackkat.net/tintin")</f>
        <v>http://www.blackkat.net/tintin</v>
      </c>
      <c r="B83" t="s">
        <v>5</v>
      </c>
      <c r="C83" t="str">
        <f t="shared" si="5"/>
        <v>Some web wonderings I did today</v>
      </c>
      <c r="D83" t="s">
        <v>274</v>
      </c>
    </row>
    <row r="84" spans="1:4" x14ac:dyDescent="0.2">
      <c r="A84" t="str">
        <f>HYPERLINK("https://eref.se", "https://eref.se")</f>
        <v>https://eref.se</v>
      </c>
      <c r="B84" t="s">
        <v>5</v>
      </c>
      <c r="C84" t="str">
        <f t="shared" si="5"/>
        <v>Some web wonderings I did today</v>
      </c>
      <c r="D84" t="s">
        <v>274</v>
      </c>
    </row>
    <row r="85" spans="1:4" x14ac:dyDescent="0.2">
      <c r="A85" t="str">
        <f>HYPERLINK("http://154.68.126.6/library", "http://154.68.126.6/library")</f>
        <v>http://154.68.126.6/library</v>
      </c>
      <c r="B85" t="s">
        <v>5</v>
      </c>
      <c r="C85" t="str">
        <f t="shared" si="5"/>
        <v>Some web wonderings I did today</v>
      </c>
      <c r="D85" t="s">
        <v>274</v>
      </c>
    </row>
    <row r="86" spans="1:4" x14ac:dyDescent="0.2">
      <c r="A86" t="str">
        <f>HYPERLINK("http://home.iowaandersons.com", "http://home.iowaandersons.com")</f>
        <v>http://home.iowaandersons.com</v>
      </c>
      <c r="B86" t="s">
        <v>5</v>
      </c>
      <c r="C86" t="str">
        <f t="shared" si="5"/>
        <v>Some web wonderings I did today</v>
      </c>
      <c r="D86" t="s">
        <v>274</v>
      </c>
    </row>
    <row r="87" spans="1:4" x14ac:dyDescent="0.2">
      <c r="A87" t="str">
        <f>HYPERLINK("https://gennuso.iiens.net/lectures/Le%20livre%20d%27or%20de%20la%20SF", "https://gennuso.iiens.net/lectures/Le%20livre%20d%27or%20de%20la%20SF")</f>
        <v>https://gennuso.iiens.net/lectures/Le%20livre%20d%27or%20de%20la%20SF</v>
      </c>
      <c r="B87" t="s">
        <v>5</v>
      </c>
      <c r="C87" t="str">
        <f t="shared" si="5"/>
        <v>Some web wonderings I did today</v>
      </c>
      <c r="D87" t="s">
        <v>274</v>
      </c>
    </row>
    <row r="88" spans="1:4" x14ac:dyDescent="0.2">
      <c r="A88" t="str">
        <f>HYPERLINK("http://www.indiepornrevolution.com/indie-porn/wp-content/uploads", "http://www.indiepornrevolution.com/indie-porn/wp-content/uploads")</f>
        <v>http://www.indiepornrevolution.com/indie-porn/wp-content/uploads</v>
      </c>
      <c r="B88" t="s">
        <v>5</v>
      </c>
      <c r="C88" t="str">
        <f t="shared" si="5"/>
        <v>Some web wonderings I did today</v>
      </c>
      <c r="D88" t="s">
        <v>274</v>
      </c>
    </row>
    <row r="89" spans="1:4" x14ac:dyDescent="0.2">
      <c r="A89" t="str">
        <f>HYPERLINK("https://www.sindark.com/genre", "https://www.sindark.com/genre")</f>
        <v>https://www.sindark.com/genre</v>
      </c>
      <c r="B89" t="s">
        <v>5</v>
      </c>
      <c r="C89" t="str">
        <f t="shared" ref="C89:C96" si="6">HYPERLINK("https://www.reddit.com/r/opendirectories/comments/mk2auw", "So Some Random...")</f>
        <v>So Some Random...</v>
      </c>
      <c r="D89" t="s">
        <v>387</v>
      </c>
    </row>
    <row r="90" spans="1:4" x14ac:dyDescent="0.2">
      <c r="A90" t="str">
        <f>HYPERLINK("http://thinkingxxx.com/content", "http://thinkingxxx.com/content")</f>
        <v>http://thinkingxxx.com/content</v>
      </c>
      <c r="B90" t="s">
        <v>5</v>
      </c>
      <c r="C90" t="str">
        <f t="shared" si="6"/>
        <v>So Some Random...</v>
      </c>
      <c r="D90" t="s">
        <v>387</v>
      </c>
    </row>
    <row r="91" spans="1:4" x14ac:dyDescent="0.2">
      <c r="A91" t="str">
        <f>HYPERLINK("https://www.chromalytic.com.au/pdf2", "https://www.chromalytic.com.au/pdf2")</f>
        <v>https://www.chromalytic.com.au/pdf2</v>
      </c>
      <c r="B91" t="s">
        <v>5</v>
      </c>
      <c r="C91" t="str">
        <f t="shared" si="6"/>
        <v>So Some Random...</v>
      </c>
      <c r="D91" t="s">
        <v>387</v>
      </c>
    </row>
    <row r="92" spans="1:4" x14ac:dyDescent="0.2">
      <c r="A92" t="str">
        <f>HYPERLINK("https://mirror.explodie.org", "https://mirror.explodie.org")</f>
        <v>https://mirror.explodie.org</v>
      </c>
      <c r="B92" t="s">
        <v>5</v>
      </c>
      <c r="C92" t="str">
        <f t="shared" si="6"/>
        <v>So Some Random...</v>
      </c>
      <c r="D92" t="s">
        <v>387</v>
      </c>
    </row>
    <row r="93" spans="1:4" x14ac:dyDescent="0.2">
      <c r="A93" t="str">
        <f>HYPERLINK("https://www.documents.clientearth.org/wp-content/uploads", "https://www.documents.clientearth.org/wp-content/uploads")</f>
        <v>https://www.documents.clientearth.org/wp-content/uploads</v>
      </c>
      <c r="B93" t="s">
        <v>5</v>
      </c>
      <c r="C93" t="str">
        <f t="shared" si="6"/>
        <v>So Some Random...</v>
      </c>
      <c r="D93" t="s">
        <v>387</v>
      </c>
    </row>
    <row r="94" spans="1:4" x14ac:dyDescent="0.2">
      <c r="A94" t="str">
        <f>HYPERLINK("http://faculty.bennington.edu", "http://faculty.bennington.edu")</f>
        <v>http://faculty.bennington.edu</v>
      </c>
      <c r="B94" t="s">
        <v>5</v>
      </c>
      <c r="C94" t="str">
        <f t="shared" si="6"/>
        <v>So Some Random...</v>
      </c>
      <c r="D94" t="s">
        <v>387</v>
      </c>
    </row>
    <row r="95" spans="1:4" x14ac:dyDescent="0.2">
      <c r="A95" t="str">
        <f>HYPERLINK("https://www.wmm.com/storage", "https://www.wmm.com/storage")</f>
        <v>https://www.wmm.com/storage</v>
      </c>
      <c r="B95" t="s">
        <v>5</v>
      </c>
      <c r="C95" t="str">
        <f t="shared" si="6"/>
        <v>So Some Random...</v>
      </c>
      <c r="D95" t="s">
        <v>387</v>
      </c>
    </row>
    <row r="96" spans="1:4" x14ac:dyDescent="0.2">
      <c r="A96" t="str">
        <f>HYPERLINK("https://www.fuckyeahfitgirls.com/wp-content/uploads", "https://www.fuckyeahfitgirls.com/wp-content/uploads")</f>
        <v>https://www.fuckyeahfitgirls.com/wp-content/uploads</v>
      </c>
      <c r="B96" t="s">
        <v>5</v>
      </c>
      <c r="C96" t="str">
        <f t="shared" si="6"/>
        <v>So Some Random...</v>
      </c>
      <c r="D96" t="s">
        <v>387</v>
      </c>
    </row>
    <row r="97" spans="1:5" x14ac:dyDescent="0.2">
      <c r="A97" t="str">
        <f>HYPERLINK("http://www.b2wblog.com/wp-content/uploads", "http://www.b2wblog.com/wp-content/uploads")</f>
        <v>http://www.b2wblog.com/wp-content/uploads</v>
      </c>
      <c r="B97" t="s">
        <v>5</v>
      </c>
      <c r="C97" t="str">
        <f>HYPERLINK("https://www.reddit.com/r/opendirectories/comments/mjfq15", "This is Totally... NSFW...")</f>
        <v>This is Totally... NSFW...</v>
      </c>
      <c r="D97" t="s">
        <v>38</v>
      </c>
    </row>
    <row r="98" spans="1:5" x14ac:dyDescent="0.2">
      <c r="A98" t="str">
        <f>HYPERLINK("http://37.187.115.51", "http://37.187.115.51")</f>
        <v>http://37.187.115.51</v>
      </c>
      <c r="B98" t="s">
        <v>5</v>
      </c>
      <c r="C98" t="str">
        <f>HYPERLINK("https://www.reddit.com/r/opendirectories/comments/mir7wq", "Almost All Movies, Contains Only Fans of bathwater girl")</f>
        <v>Almost All Movies, Contains Only Fans of bathwater girl</v>
      </c>
      <c r="D98" t="s">
        <v>39</v>
      </c>
    </row>
    <row r="99" spans="1:5" x14ac:dyDescent="0.2">
      <c r="A99" t="str">
        <f>HYPERLINK("https://naijauncut.com/wp-content/uploads", "https://naijauncut.com/wp-content/uploads")</f>
        <v>https://naijauncut.com/wp-content/uploads</v>
      </c>
      <c r="B99" t="s">
        <v>5</v>
      </c>
      <c r="C99" t="str">
        <f>HYPERLINK("https://www.reddit.com/r/opendirectories/comments/mhvite", "Lots Of Vids &amp;amp; Images")</f>
        <v>Lots Of Vids &amp;amp; Images</v>
      </c>
      <c r="D99" t="s">
        <v>40</v>
      </c>
    </row>
    <row r="100" spans="1:5" x14ac:dyDescent="0.2">
      <c r="A100" t="str">
        <f>HYPERLINK("https://www.aveltprograms.com/library", "https://www.aveltprograms.com/library")</f>
        <v>https://www.aveltprograms.com/library</v>
      </c>
      <c r="B100" t="s">
        <v>5</v>
      </c>
      <c r="C100" t="str">
        <f>HYPERLINK("https://www.reddit.com/r/opendirectories/comments/mhcz2h", "Open directory...")</f>
        <v>Open directory...</v>
      </c>
      <c r="D100" t="s">
        <v>41</v>
      </c>
    </row>
    <row r="101" spans="1:5" x14ac:dyDescent="0.2">
      <c r="A101" t="str">
        <f>HYPERLINK("http://1w6plus3.bplaced.net", "http://1w6plus3.bplaced.net")</f>
        <v>http://1w6plus3.bplaced.net</v>
      </c>
      <c r="B101" t="s">
        <v>5</v>
      </c>
      <c r="C101" t="str">
        <f>HYPERLINK("https://www.reddit.com/r/opendirectories/comments/mgiixo", "Some sort of game characters")</f>
        <v>Some sort of game characters</v>
      </c>
      <c r="D101" t="s">
        <v>383</v>
      </c>
    </row>
    <row r="102" spans="1:5" x14ac:dyDescent="0.2">
      <c r="A102" t="str">
        <f>HYPERLINK("https://shoelace.org", "https://shoelace.org")</f>
        <v>https://shoelace.org</v>
      </c>
      <c r="B102" t="s">
        <v>5</v>
      </c>
      <c r="C102" t="str">
        <f>HYPERLINK("https://www.reddit.com/r/opendirectories/comments/mggeol", "Big Image Dump")</f>
        <v>Big Image Dump</v>
      </c>
      <c r="D102" t="s">
        <v>383</v>
      </c>
    </row>
    <row r="103" spans="1:5" x14ac:dyDescent="0.2">
      <c r="A103" t="str">
        <f>HYPERLINK("http://cotesex.com/woodman", "http://cotesex.com/woodman")</f>
        <v>http://cotesex.com/woodman</v>
      </c>
      <c r="B103" t="s">
        <v>5</v>
      </c>
      <c r="C103" t="str">
        <f>HYPERLINK("https://www.reddit.com/r/opendirectories/comments/mfvt8q", "Pics &amp;amp; Vids porn index.")</f>
        <v>Pics &amp;amp; Vids porn index.</v>
      </c>
      <c r="D103" t="s">
        <v>276</v>
      </c>
    </row>
    <row r="104" spans="1:5" x14ac:dyDescent="0.2">
      <c r="A104" t="str">
        <f>HYPERLINK("http://misfitmods.com/noxbackgrounds", "http://misfitmods.com/noxbackgrounds")</f>
        <v>http://misfitmods.com/noxbackgrounds</v>
      </c>
      <c r="B104" t="s">
        <v>5</v>
      </c>
      <c r="C104" t="str">
        <f>HYPERLINK("https://www.reddit.com/r/opendirectories/comments/mf4whp", "Wallpapers/Backgrounds...")</f>
        <v>Wallpapers/Backgrounds...</v>
      </c>
      <c r="D104" t="s">
        <v>42</v>
      </c>
    </row>
    <row r="105" spans="1:5" x14ac:dyDescent="0.2">
      <c r="A105" t="str">
        <f>HYPERLINK("http://xxxxmagazine.tv/videos", "http://xxxxmagazine.tv/videos")</f>
        <v>http://xxxxmagazine.tv/videos</v>
      </c>
      <c r="B105" t="s">
        <v>5</v>
      </c>
      <c r="C105" t="str">
        <f>HYPERLINK("https://www.reddit.com/r/opendirectories/comments/83lhq3", "Art or erotism? Erotic art? Probably NSFW for the sensitive ones.")</f>
        <v>Art or erotism? Erotic art? Probably NSFW for the sensitive ones.</v>
      </c>
      <c r="D105" t="s">
        <v>277</v>
      </c>
    </row>
    <row r="106" spans="1:5" x14ac:dyDescent="0.2">
      <c r="A106" t="str">
        <f>HYPERLINK("http://idriders.com/temp", "http://idriders.com/temp")</f>
        <v>http://idriders.com/temp</v>
      </c>
      <c r="B106" t="s">
        <v>5</v>
      </c>
      <c r="C106" t="str">
        <f>HYPERLINK("https://www.reddit.com/r/opendirectories/comments/364gut", "OK...Gotta Little Time...More Porn and Stuff")</f>
        <v>OK...Gotta Little Time...More Porn and Stuff</v>
      </c>
      <c r="D106" t="s">
        <v>587</v>
      </c>
    </row>
    <row r="107" spans="1:5" x14ac:dyDescent="0.2">
      <c r="A107" t="str">
        <f>HYPERLINK("https://omgpornstars.com/img", "https://omgpornstars.com/img")</f>
        <v>https://omgpornstars.com/img</v>
      </c>
      <c r="B107" t="s">
        <v>5</v>
      </c>
      <c r="C107" t="str">
        <f>HYPERLINK("https://www.reddit.com/r/opendirectories/comments/m4waxk", "Images")</f>
        <v>Images</v>
      </c>
      <c r="D107" t="s">
        <v>45</v>
      </c>
    </row>
    <row r="108" spans="1:5" x14ac:dyDescent="0.2">
      <c r="A108" t="str">
        <f>HYPERLINK("http://mas.adult-services.net/content/media_server_videos", "http://mas.adult-services.net/content/media_server_videos")</f>
        <v>http://mas.adult-services.net/content/media_server_videos</v>
      </c>
      <c r="B108" t="s">
        <v>5</v>
      </c>
      <c r="C108" t="str">
        <f>HYPERLINK("https://www.reddit.com/r/opendirectories/comments/m4vd7a", "Bigish Mix bag of xxx")</f>
        <v>Bigish Mix bag of xxx</v>
      </c>
      <c r="D108" t="s">
        <v>45</v>
      </c>
    </row>
    <row r="109" spans="1:5" x14ac:dyDescent="0.2">
      <c r="A109" t="str">
        <f>HYPERLINK("https://213.32.0.222", "https://213.32.0.222")</f>
        <v>https://213.32.0.222</v>
      </c>
      <c r="B109" t="s">
        <v>5</v>
      </c>
      <c r="C109" t="str">
        <f>HYPERLINK("https://www.reddit.com/r/opendirectories/comments/jthnfk", "A bunch of Japanese Animes in various languages (JAP, ENG, RUS, GER)")</f>
        <v>A bunch of Japanese Animes in various languages (JAP, ENG, RUS, GER)</v>
      </c>
      <c r="D109" t="s">
        <v>278</v>
      </c>
      <c r="E109" t="s">
        <v>279</v>
      </c>
    </row>
    <row r="110" spans="1:5" x14ac:dyDescent="0.2">
      <c r="A110" t="str">
        <f>HYPERLINK("http://www.brcctubes.com/movie_files", "http://www.brcctubes.com/movie_files")</f>
        <v>http://www.brcctubes.com/movie_files</v>
      </c>
      <c r="B110" t="s">
        <v>5</v>
      </c>
      <c r="C110" t="str">
        <f>HYPERLINK("https://www.reddit.com/r/opendirectories/comments/5vrir1", "and another NSFW video index")</f>
        <v>and another NSFW video index</v>
      </c>
      <c r="D110" t="s">
        <v>280</v>
      </c>
    </row>
    <row r="111" spans="1:5" x14ac:dyDescent="0.2">
      <c r="A111" t="str">
        <f>HYPERLINK("http://gamerchicks.com/sexy-free-nude", "http://gamerchicks.com/sexy-free-nude")</f>
        <v>http://gamerchicks.com/sexy-free-nude</v>
      </c>
      <c r="B111" t="s">
        <v>5</v>
      </c>
      <c r="C111" t="str">
        <f>HYPERLINK("https://www.reddit.com/r/opendirectories/comments/m4d9fw", "Gamer Chicks...")</f>
        <v>Gamer Chicks...</v>
      </c>
      <c r="D111" t="s">
        <v>281</v>
      </c>
    </row>
    <row r="112" spans="1:5" x14ac:dyDescent="0.2">
      <c r="A112" t="str">
        <f>HYPERLINK("https://www.thesandfly.com/Sfgalleries", "https://www.thesandfly.com/Sfgalleries")</f>
        <v>https://www.thesandfly.com/Sfgalleries</v>
      </c>
      <c r="B112" t="s">
        <v>5</v>
      </c>
      <c r="C112" t="str">
        <f>HYPERLINK("https://www.reddit.com/r/opendirectories/comments/m2830h", "Just Some Naughty Images")</f>
        <v>Just Some Naughty Images</v>
      </c>
      <c r="D112" t="s">
        <v>283</v>
      </c>
    </row>
    <row r="113" spans="1:5" x14ac:dyDescent="0.2">
      <c r="A113" t="str">
        <f>HYPERLINK("http://www.pornocaps.com/Pcaps", "http://www.pornocaps.com/Pcaps")</f>
        <v>http://www.pornocaps.com/Pcaps</v>
      </c>
      <c r="B113" t="s">
        <v>5</v>
      </c>
      <c r="C113" t="str">
        <f>HYPERLINK("https://www.reddit.com/r/opendirectories/comments/m21als", "Hot Exhibitionists....")</f>
        <v>Hot Exhibitionists....</v>
      </c>
      <c r="D113" t="s">
        <v>283</v>
      </c>
    </row>
    <row r="114" spans="1:5" x14ac:dyDescent="0.2">
      <c r="A114" t="str">
        <f>HYPERLINK("http://www.okaybbs.com/vip/attachments/uploads", "http://www.okaybbs.com/vip/attachments/uploads")</f>
        <v>http://www.okaybbs.com/vip/attachments/uploads</v>
      </c>
      <c r="B114" t="s">
        <v>5</v>
      </c>
      <c r="C114" t="str">
        <f>HYPERLINK("https://www.reddit.com/r/opendirectories/comments/at4r5m", "ASIAN PORN STUFF")</f>
        <v>ASIAN PORN STUFF</v>
      </c>
      <c r="D114" t="s">
        <v>284</v>
      </c>
      <c r="E114" t="s">
        <v>63</v>
      </c>
    </row>
    <row r="115" spans="1:5" x14ac:dyDescent="0.2">
      <c r="A115" t="str">
        <f>HYPERLINK("https://sinfordays.com/wp-content/uploads", "https://sinfordays.com/wp-content/uploads")</f>
        <v>https://sinfordays.com/wp-content/uploads</v>
      </c>
      <c r="B115" t="s">
        <v>5</v>
      </c>
      <c r="C115" t="str">
        <f>HYPERLINK("https://www.reddit.com/r/opendirectories/comments/m1td61", "Some pics")</f>
        <v>Some pics</v>
      </c>
      <c r="D115" t="s">
        <v>283</v>
      </c>
    </row>
    <row r="116" spans="1:5" x14ac:dyDescent="0.2">
      <c r="A116" t="str">
        <f>HYPERLINK("http://www.sextingpics.com/wp-content/uploads", "http://www.sextingpics.com/wp-content/uploads")</f>
        <v>http://www.sextingpics.com/wp-content/uploads</v>
      </c>
      <c r="B116" t="s">
        <v>5</v>
      </c>
      <c r="C116" t="str">
        <f>HYPERLINK("https://www.reddit.com/r/opendirectories/comments/62lqkf", "[NSFW] Thousands of amateur nude snapchat pictures !")</f>
        <v>[NSFW] Thousands of amateur nude snapchat pictures !</v>
      </c>
      <c r="D116" t="s">
        <v>578</v>
      </c>
    </row>
    <row r="117" spans="1:5" x14ac:dyDescent="0.2">
      <c r="A117" t="str">
        <f>HYPERLINK("http://mas.adult-services.net/content/straight", "http://mas.adult-services.net/content/straight")</f>
        <v>http://mas.adult-services.net/content/straight</v>
      </c>
      <c r="B117" t="s">
        <v>5</v>
      </c>
      <c r="C117" t="str">
        <f>HYPERLINK("https://www.reddit.com/r/opendirectories/comments/3os0h4", "NSFW: Huge directory of sorted jpgs, various, mostly small to med. size.")</f>
        <v>NSFW: Huge directory of sorted jpgs, various, mostly small to med. size.</v>
      </c>
      <c r="D117" t="s">
        <v>238</v>
      </c>
    </row>
    <row r="118" spans="1:5" x14ac:dyDescent="0.2">
      <c r="A118" t="str">
        <f>HYPERLINK("http://35.171.144.223", "http://35.171.144.223")</f>
        <v>http://35.171.144.223</v>
      </c>
      <c r="B118" t="s">
        <v>5</v>
      </c>
      <c r="C118" t="str">
        <f>HYPERLINK("https://www.reddit.com/r/opendirectories/comments/l1j5i7", "Bunch of VR Porn")</f>
        <v>Bunch of VR Porn</v>
      </c>
      <c r="D118" t="s">
        <v>293</v>
      </c>
    </row>
    <row r="119" spans="1:5" x14ac:dyDescent="0.2">
      <c r="A119" t="str">
        <f>HYPERLINK("https://download.tuxfamily.org", "https://download.tuxfamily.org")</f>
        <v>https://download.tuxfamily.org</v>
      </c>
      <c r="B119" t="s">
        <v>5</v>
      </c>
      <c r="C119" t="str">
        <f>HYPERLINK("https://www.reddit.com/r/opendirectories/comments/etfrtz", "big ass directory (roms for sure, not sure what else)")</f>
        <v>big ass directory (roms for sure, not sure what else)</v>
      </c>
      <c r="D119" t="s">
        <v>472</v>
      </c>
    </row>
    <row r="120" spans="1:5" x14ac:dyDescent="0.2">
      <c r="A120" t="str">
        <f>HYPERLINK("https://artserotica.com/videos", "https://artserotica.com/videos")</f>
        <v>https://artserotica.com/videos</v>
      </c>
      <c r="B120" t="s">
        <v>5</v>
      </c>
      <c r="C120" t="str">
        <f>HYPERLINK("https://www.reddit.com/r/opendirectories/comments/l7z8en", "Largish collection of NSFW videos")</f>
        <v>Largish collection of NSFW videos</v>
      </c>
      <c r="D120" t="s">
        <v>294</v>
      </c>
    </row>
    <row r="121" spans="1:5" x14ac:dyDescent="0.2">
      <c r="A121" t="str">
        <f>HYPERLINK("http://editor.inhost.com.ua/storage", "http://editor.inhost.com.ua/storage")</f>
        <v>http://editor.inhost.com.ua/storage</v>
      </c>
      <c r="B121" t="s">
        <v>5</v>
      </c>
      <c r="C121" t="str">
        <f>HYPERLINK("https://www.reddit.com/r/opendirectories/comments/l0ysoo", "NotSoTOPSECRETski - INDEX of Multiple things - UKRANIAN Military")</f>
        <v>NotSoTOPSECRETski - INDEX of Multiple things - UKRANIAN Military</v>
      </c>
      <c r="D121" t="s">
        <v>293</v>
      </c>
    </row>
    <row r="122" spans="1:5" x14ac:dyDescent="0.2">
      <c r="A122" t="str">
        <f>HYPERLINK("http://148.72.150.188", "http://148.72.150.188")</f>
        <v>http://148.72.150.188</v>
      </c>
      <c r="B122" t="s">
        <v>5</v>
      </c>
      <c r="C122" t="str">
        <f>HYPERLINK("https://www.reddit.com/r/opendirectories/comments/ksp6l3", "If random content is interesting for you")</f>
        <v>If random content is interesting for you</v>
      </c>
      <c r="D122" t="s">
        <v>521</v>
      </c>
    </row>
    <row r="123" spans="1:5" x14ac:dyDescent="0.2">
      <c r="A123" t="str">
        <f>HYPERLINK("http://feelthecurves.com/wp-content/gallery", "http://feelthecurves.com/wp-content/gallery")</f>
        <v>http://feelthecurves.com/wp-content/gallery</v>
      </c>
      <c r="B123" t="s">
        <v>5</v>
      </c>
      <c r="C123" t="str">
        <f>HYPERLINK("https://www.reddit.com/r/opendirectories/comments/kpcylf", "Big boobs")</f>
        <v>Big boobs</v>
      </c>
      <c r="D123" t="s">
        <v>727</v>
      </c>
    </row>
    <row r="124" spans="1:5" x14ac:dyDescent="0.2">
      <c r="A124" t="str">
        <f>HYPERLINK("https://hypendium.com", "https://hypendium.com")</f>
        <v>https://hypendium.com</v>
      </c>
      <c r="B124" t="s">
        <v>5</v>
      </c>
      <c r="C124" t="str">
        <f>HYPERLINK("https://www.reddit.com/r/opendirectories/comments/kkt0eo", "Not sure but looks like scenes from video games (possibly NSFW)")</f>
        <v>Not sure but looks like scenes from video games (possibly NSFW)</v>
      </c>
      <c r="D124" t="s">
        <v>297</v>
      </c>
    </row>
    <row r="125" spans="1:5" x14ac:dyDescent="0.2">
      <c r="A125" t="str">
        <f>HYPERLINK("https://www.exploringlasvegas.com/shows", "https://www.exploringlasvegas.com/shows")</f>
        <v>https://www.exploringlasvegas.com/shows</v>
      </c>
      <c r="B125" t="s">
        <v>5</v>
      </c>
      <c r="C125" t="str">
        <f>HYPERLINK("https://www.reddit.com/r/opendirectories/comments/kal53h", "Nice collection of Las Vegas shows (possibly NSFW)")</f>
        <v>Nice collection of Las Vegas shows (possibly NSFW)</v>
      </c>
      <c r="D125" t="s">
        <v>300</v>
      </c>
    </row>
    <row r="126" spans="1:5" x14ac:dyDescent="0.2">
      <c r="A126" t="str">
        <f>HYPERLINK("http://www.ashleecadell.com", "http://www.ashleecadell.com")</f>
        <v>http://www.ashleecadell.com</v>
      </c>
      <c r="B126" t="s">
        <v>5</v>
      </c>
      <c r="C126" t="str">
        <f>HYPERLINK("https://www.reddit.com/r/opendirectories/comments/jj3fas", "Tons of MP3s, Good Speeds")</f>
        <v>Tons of MP3s, Good Speeds</v>
      </c>
      <c r="D126" t="s">
        <v>474</v>
      </c>
    </row>
    <row r="127" spans="1:5" x14ac:dyDescent="0.2">
      <c r="A127" t="str">
        <f>HYPERLINK("http://okaybbs.com/vip/attachments/uploads", "http://okaybbs.com/vip/attachments/uploads")</f>
        <v>http://okaybbs.com/vip/attachments/uploads</v>
      </c>
      <c r="B127" t="s">
        <v>5</v>
      </c>
      <c r="C127" t="str">
        <f>HYPERLINK("https://www.reddit.com/r/opendirectories/comments/irpf1g", "Lots of XXX")</f>
        <v>Lots of XXX</v>
      </c>
      <c r="D127" t="s">
        <v>302</v>
      </c>
    </row>
    <row r="128" spans="1:5" x14ac:dyDescent="0.2">
      <c r="A128" t="str">
        <f>HYPERLINK("http://pics.yougave.me", "http://pics.yougave.me")</f>
        <v>http://pics.yougave.me</v>
      </c>
      <c r="B128" t="s">
        <v>5</v>
      </c>
      <c r="C128" t="str">
        <f>HYPERLINK("https://www.reddit.com/r/opendirectories/comments/k3i5tp", "I have no idea what's the genre of this OD is...")</f>
        <v>I have no idea what's the genre of this OD is...</v>
      </c>
      <c r="D128" t="s">
        <v>730</v>
      </c>
    </row>
    <row r="129" spans="1:5" x14ac:dyDescent="0.2">
      <c r="A129" t="str">
        <f>HYPERLINK("http://www1.zhencang.net:8080", "http://www1.zhencang.net:8080")</f>
        <v>http://www1.zhencang.net:8080</v>
      </c>
      <c r="B129" t="s">
        <v>5</v>
      </c>
      <c r="C129" t="str">
        <f>HYPERLINK("https://www.reddit.com/r/opendirectories/comments/k4al9d", "Chinese... videos?")</f>
        <v>Chinese... videos?</v>
      </c>
      <c r="D129" t="s">
        <v>305</v>
      </c>
      <c r="E129" t="s">
        <v>61</v>
      </c>
    </row>
    <row r="130" spans="1:5" x14ac:dyDescent="0.2">
      <c r="A130" t="str">
        <f>HYPERLINK("http://www.eroticartfan.com/galleries", "http://www.eroticartfan.com/galleries")</f>
        <v>http://www.eroticartfan.com/galleries</v>
      </c>
      <c r="B130" t="s">
        <v>5</v>
      </c>
      <c r="C130" t="str">
        <f>HYPERLINK("https://www.reddit.com/r/opendirectories/comments/k3eonv", "Pr0nstar galleries (nsfw)")</f>
        <v>Pr0nstar galleries (nsfw)</v>
      </c>
      <c r="D130" t="s">
        <v>730</v>
      </c>
    </row>
    <row r="131" spans="1:5" x14ac:dyDescent="0.2">
      <c r="A131" t="str">
        <f>HYPERLINK("https://engorgedtits.com/wp-content/uploads", "https://engorgedtits.com/wp-content/uploads")</f>
        <v>https://engorgedtits.com/wp-content/uploads</v>
      </c>
      <c r="B131" t="s">
        <v>5</v>
      </c>
      <c r="C131" t="str">
        <f>HYPERLINK("https://www.reddit.com/r/opendirectories/comments/k2n3fw", "decent size Dir, Huge size Tits, some pics and movies NSFW")</f>
        <v>decent size Dir, Huge size Tits, some pics and movies NSFW</v>
      </c>
      <c r="D131" t="s">
        <v>395</v>
      </c>
    </row>
    <row r="132" spans="1:5" x14ac:dyDescent="0.2">
      <c r="A132" t="str">
        <f>HYPERLINK("http://real-uksex.com/wp-content/uploads", "http://real-uksex.com/wp-content/uploads")</f>
        <v>http://real-uksex.com/wp-content/uploads</v>
      </c>
      <c r="B132" t="s">
        <v>5</v>
      </c>
      <c r="C132" t="str">
        <f>HYPERLINK("https://www.reddit.com/r/opendirectories/comments/jyxyph", "Loads of UK adult images &amp;amp; movies NSFW")</f>
        <v>Loads of UK adult images &amp;amp; movies NSFW</v>
      </c>
      <c r="D132" t="s">
        <v>397</v>
      </c>
    </row>
    <row r="133" spans="1:5" x14ac:dyDescent="0.2">
      <c r="A133" t="str">
        <f>HYPERLINK("http://www.bustybrits.com/t", "http://www.bustybrits.com/t")</f>
        <v>http://www.bustybrits.com/t</v>
      </c>
      <c r="B133" t="s">
        <v>5</v>
      </c>
      <c r="C133" t="str">
        <f>HYPERLINK("https://www.reddit.com/r/opendirectories/comments/jw447v", "NSFW Finally found porn today, and it's those Brits which I love . Pics and vids.")</f>
        <v>NSFW Finally found porn today, and it's those Brits which I love . Pics and vids.</v>
      </c>
      <c r="D133" t="s">
        <v>308</v>
      </c>
    </row>
    <row r="134" spans="1:5" x14ac:dyDescent="0.2">
      <c r="A134" t="str">
        <f>HYPERLINK("http://218.72.252.150:9004", "http://218.72.252.150:9004")</f>
        <v>http://218.72.252.150:9004</v>
      </c>
      <c r="B134" t="s">
        <v>5</v>
      </c>
      <c r="C134" t="str">
        <f>HYPERLINK("https://www.reddit.com/r/opendirectories/comments/jsa626", "JAV Galore, Hentai, Amat, ...")</f>
        <v>JAV Galore, Hentai, Amat, ...</v>
      </c>
      <c r="D134" t="s">
        <v>266</v>
      </c>
    </row>
    <row r="135" spans="1:5" x14ac:dyDescent="0.2">
      <c r="A135" t="str">
        <f>HYPERLINK("https://107.175.63.104", "https://107.175.63.104")</f>
        <v>https://107.175.63.104</v>
      </c>
      <c r="B135" t="s">
        <v>5</v>
      </c>
      <c r="C135" t="str">
        <f>HYPERLINK("https://www.reddit.com/r/opendirectories/comments/jsa626", "JAV Galore, Hentai, Amat, ...")</f>
        <v>JAV Galore, Hentai, Amat, ...</v>
      </c>
      <c r="D135" t="s">
        <v>266</v>
      </c>
    </row>
    <row r="136" spans="1:5" x14ac:dyDescent="0.2">
      <c r="A136" t="str">
        <f>HYPERLINK("http://91.205.172.13:9000", "http://91.205.172.13:9000")</f>
        <v>http://91.205.172.13:9000</v>
      </c>
      <c r="B136" t="s">
        <v>5</v>
      </c>
      <c r="C136" t="str">
        <f>HYPERLINK("https://www.reddit.com/r/opendirectories/comments/jsa626", "JAV Galore, Hentai, Amat, ...")</f>
        <v>JAV Galore, Hentai, Amat, ...</v>
      </c>
      <c r="D136" t="s">
        <v>266</v>
      </c>
    </row>
    <row r="137" spans="1:5" x14ac:dyDescent="0.2">
      <c r="A137" t="str">
        <f>HYPERLINK("https://37.187.96.179", "https://37.187.96.179")</f>
        <v>https://37.187.96.179</v>
      </c>
      <c r="B137" t="s">
        <v>5</v>
      </c>
      <c r="C137" t="str">
        <f>HYPERLINK("https://www.reddit.com/r/opendirectories/comments/jsa626", "JAV Galore, Hentai, Amat, ...")</f>
        <v>JAV Galore, Hentai, Amat, ...</v>
      </c>
      <c r="D137" t="s">
        <v>266</v>
      </c>
    </row>
    <row r="138" spans="1:5" x14ac:dyDescent="0.2">
      <c r="A138" t="str">
        <f>HYPERLINK("http://51.15.25.24", "http://51.15.25.24")</f>
        <v>http://51.15.25.24</v>
      </c>
      <c r="B138" t="s">
        <v>5</v>
      </c>
      <c r="C138" t="str">
        <f>HYPERLINK("https://www.reddit.com/r/opendirectories/comments/jsa626", "JAV Galore, Hentai, Amat, ...")</f>
        <v>JAV Galore, Hentai, Amat, ...</v>
      </c>
      <c r="D138" t="s">
        <v>266</v>
      </c>
    </row>
    <row r="139" spans="1:5" x14ac:dyDescent="0.2">
      <c r="A139" t="str">
        <f>HYPERLINK("https://www.orientbeach.com", "https://www.orientbeach.com")</f>
        <v>https://www.orientbeach.com</v>
      </c>
      <c r="B139" t="s">
        <v>5</v>
      </c>
      <c r="C139" t="str">
        <f>HYPERLINK("https://www.reddit.com/r/opendirectories/comments/jmnfht", "Come to Orient Beach!")</f>
        <v>Come to Orient Beach!</v>
      </c>
      <c r="D139" t="s">
        <v>310</v>
      </c>
    </row>
    <row r="140" spans="1:5" x14ac:dyDescent="0.2">
      <c r="A140" t="str">
        <f>HYPERLINK("http://kuukunen.net/pics", "http://kuukunen.net/pics")</f>
        <v>http://kuukunen.net/pics</v>
      </c>
      <c r="B140" t="s">
        <v>5</v>
      </c>
      <c r="C140" t="str">
        <f>HYPERLINK("https://www.reddit.com/r/opendirectories/comments/jkznib", "Got Cosplay?")</f>
        <v>Got Cosplay?</v>
      </c>
      <c r="D140" t="s">
        <v>731</v>
      </c>
    </row>
    <row r="141" spans="1:5" x14ac:dyDescent="0.2">
      <c r="A141" t="str">
        <f>HYPERLINK("http://www.kisax.com/images", "http://www.kisax.com/images")</f>
        <v>http://www.kisax.com/images</v>
      </c>
      <c r="B141" t="s">
        <v>5</v>
      </c>
      <c r="D141" t="s">
        <v>733</v>
      </c>
    </row>
    <row r="142" spans="1:5" x14ac:dyDescent="0.2">
      <c r="A142" t="str">
        <f>HYPERLINK("http://joezasada.com/images", "http://joezasada.com/images")</f>
        <v>http://joezasada.com/images</v>
      </c>
      <c r="B142" t="s">
        <v>5</v>
      </c>
      <c r="C142" t="str">
        <f t="shared" ref="C142:C147" si="7">HYPERLINK("https://www.reddit.com/r/opendirectories/comments/je1szt", "Pin Ups")</f>
        <v>Pin Ups</v>
      </c>
      <c r="D142" t="s">
        <v>734</v>
      </c>
    </row>
    <row r="143" spans="1:5" x14ac:dyDescent="0.2">
      <c r="A143" t="str">
        <f>HYPERLINK("http://www.signnetwork.com/decals/Decals", "http://www.signnetwork.com/decals/Decals")</f>
        <v>http://www.signnetwork.com/decals/Decals</v>
      </c>
      <c r="B143" t="s">
        <v>5</v>
      </c>
      <c r="C143" t="str">
        <f t="shared" si="7"/>
        <v>Pin Ups</v>
      </c>
      <c r="D143" t="s">
        <v>734</v>
      </c>
    </row>
    <row r="144" spans="1:5" x14ac:dyDescent="0.2">
      <c r="A144" t="str">
        <f>HYPERLINK("http://alvaranda.com/images", "http://alvaranda.com/images")</f>
        <v>http://alvaranda.com/images</v>
      </c>
      <c r="B144" t="s">
        <v>5</v>
      </c>
      <c r="C144" t="str">
        <f t="shared" si="7"/>
        <v>Pin Ups</v>
      </c>
      <c r="D144" t="s">
        <v>734</v>
      </c>
    </row>
    <row r="145" spans="1:4" x14ac:dyDescent="0.2">
      <c r="A145" t="str">
        <f>HYPERLINK("http://dailyartcocktail.com/images", "http://dailyartcocktail.com/images")</f>
        <v>http://dailyartcocktail.com/images</v>
      </c>
      <c r="B145" t="s">
        <v>5</v>
      </c>
      <c r="C145" t="str">
        <f t="shared" si="7"/>
        <v>Pin Ups</v>
      </c>
      <c r="D145" t="s">
        <v>734</v>
      </c>
    </row>
    <row r="146" spans="1:4" x14ac:dyDescent="0.2">
      <c r="A146" t="str">
        <f>HYPERLINK("http://www.bdcharleroi.com/images", "http://www.bdcharleroi.com/images")</f>
        <v>http://www.bdcharleroi.com/images</v>
      </c>
      <c r="B146" t="s">
        <v>5</v>
      </c>
      <c r="C146" t="str">
        <f t="shared" si="7"/>
        <v>Pin Ups</v>
      </c>
      <c r="D146" t="s">
        <v>734</v>
      </c>
    </row>
    <row r="147" spans="1:4" x14ac:dyDescent="0.2">
      <c r="A147" t="str">
        <f>HYPERLINK("https://www.toperfect.com/pic", "https://www.toperfect.com/pic")</f>
        <v>https://www.toperfect.com/pic</v>
      </c>
      <c r="B147" t="s">
        <v>5</v>
      </c>
      <c r="C147" t="str">
        <f t="shared" si="7"/>
        <v>Pin Ups</v>
      </c>
      <c r="D147" t="s">
        <v>734</v>
      </c>
    </row>
    <row r="148" spans="1:4" x14ac:dyDescent="0.2">
      <c r="A148" t="str">
        <f>HYPERLINK("https://s10.mangovideo.pw", "https://s10.mangovideo.pw")</f>
        <v>https://s10.mangovideo.pw</v>
      </c>
      <c r="B148" t="s">
        <v>5</v>
      </c>
      <c r="C148" t="str">
        <f>HYPERLINK("https://www.reddit.com/r/opendirectories/comments/jb2g3v", "Lots of porn videos.")</f>
        <v>Lots of porn videos.</v>
      </c>
      <c r="D148" t="s">
        <v>313</v>
      </c>
    </row>
    <row r="149" spans="1:4" x14ac:dyDescent="0.2">
      <c r="A149" t="str">
        <f>HYPERLINK("http://ichigo69.mayulive.com/manga", "http://ichigo69.mayulive.com/manga")</f>
        <v>http://ichigo69.mayulive.com/manga</v>
      </c>
      <c r="B149" t="s">
        <v>5</v>
      </c>
      <c r="C149" t="str">
        <f>HYPERLINK("https://www.reddit.com/r/opendirectories/comments/hjnzdo", "index of anime picture books")</f>
        <v>index of anime picture books</v>
      </c>
      <c r="D149" t="s">
        <v>81</v>
      </c>
    </row>
    <row r="150" spans="1:4" x14ac:dyDescent="0.2">
      <c r="A150" t="str">
        <f>HYPERLINK("http://118.69.205.207:8000", "http://118.69.205.207:8000")</f>
        <v>http://118.69.205.207:8000</v>
      </c>
      <c r="B150" t="s">
        <v>5</v>
      </c>
      <c r="C150" t="str">
        <f>HYPERLINK("https://www.reddit.com/r/opendirectories/comments/irvb69", "A bunch of movies, series ... never published here ! Part 4")</f>
        <v>A bunch of movies, series ... never published here ! Part 4</v>
      </c>
      <c r="D150" t="s">
        <v>302</v>
      </c>
    </row>
    <row r="151" spans="1:4" x14ac:dyDescent="0.2">
      <c r="A151" t="str">
        <f>HYPERLINK("http://galleries.beachjerk.com", "http://galleries.beachjerk.com")</f>
        <v>http://galleries.beachjerk.com</v>
      </c>
      <c r="B151" t="s">
        <v>5</v>
      </c>
      <c r="C151" t="str">
        <f>HYPERLINK("https://www.reddit.com/r/opendirectories/comments/ingzpi", "NSFW Beach Porn")</f>
        <v>NSFW Beach Porn</v>
      </c>
      <c r="D151" t="s">
        <v>374</v>
      </c>
    </row>
    <row r="152" spans="1:4" x14ac:dyDescent="0.2">
      <c r="A152" t="str">
        <f>HYPERLINK("http://users.telenet.be/mega", "http://users.telenet.be/mega")</f>
        <v>http://users.telenet.be/mega</v>
      </c>
      <c r="B152" t="s">
        <v>5</v>
      </c>
      <c r="C152" t="str">
        <f>HYPERLINK("https://www.reddit.com/r/opendirectories/comments/iexya4", "weird and shady [NSFW]")</f>
        <v>weird and shady [NSFW]</v>
      </c>
      <c r="D152" t="s">
        <v>71</v>
      </c>
    </row>
    <row r="153" spans="1:4" x14ac:dyDescent="0.2">
      <c r="A153" t="str">
        <f>HYPERLINK("https://archives.eyrie.org", "https://archives.eyrie.org")</f>
        <v>https://archives.eyrie.org</v>
      </c>
      <c r="B153" t="s">
        <v>5</v>
      </c>
      <c r="C153" t="str">
        <f>HYPERLINK("https://www.reddit.com/r/opendirectories/comments/dzq53d", "Evangelion Fanfic (Not NSFW but weird as fuck, if you know evangelion)")</f>
        <v>Evangelion Fanfic (Not NSFW but weird as fuck, if you know evangelion)</v>
      </c>
      <c r="D153" t="s">
        <v>105</v>
      </c>
    </row>
    <row r="154" spans="1:4" x14ac:dyDescent="0.2">
      <c r="A154" t="str">
        <f>HYPERLINK("http://polonews.tw/wp-content/uploads", "http://polonews.tw/wp-content/uploads")</f>
        <v>http://polonews.tw/wp-content/uploads</v>
      </c>
      <c r="B154" t="s">
        <v>5</v>
      </c>
      <c r="C154" t="str">
        <f>HYPERLINK("https://www.reddit.com/r/opendirectories/comments/i34i8n", "[NSFW] Photos of Asian Models/Porn")</f>
        <v>[NSFW] Photos of Asian Models/Porn</v>
      </c>
      <c r="D154" t="s">
        <v>449</v>
      </c>
    </row>
    <row r="155" spans="1:4" x14ac:dyDescent="0.2">
      <c r="A155" t="str">
        <f>HYPERLINK("https://www.idoldouganew.com/wp-content/uploads", "https://www.idoldouganew.com/wp-content/uploads")</f>
        <v>https://www.idoldouganew.com/wp-content/uploads</v>
      </c>
      <c r="B155" t="s">
        <v>5</v>
      </c>
      <c r="C155" t="str">
        <f>HYPERLINK("https://www.reddit.com/r/opendirectories/comments/i34i8n", "[NSFW] Photos of Asian Models/Porn")</f>
        <v>[NSFW] Photos of Asian Models/Porn</v>
      </c>
      <c r="D155" t="s">
        <v>449</v>
      </c>
    </row>
    <row r="156" spans="1:4" x14ac:dyDescent="0.2">
      <c r="A156" t="str">
        <f>HYPERLINK("https://javopen.co/wp-content/uploads", "https://javopen.co/wp-content/uploads")</f>
        <v>https://javopen.co/wp-content/uploads</v>
      </c>
      <c r="B156" t="s">
        <v>5</v>
      </c>
      <c r="C156" t="str">
        <f>HYPERLINK("https://www.reddit.com/r/opendirectories/comments/i34i8n", "[NSFW] Photos of Asian Models/Porn")</f>
        <v>[NSFW] Photos of Asian Models/Porn</v>
      </c>
      <c r="D156" t="s">
        <v>449</v>
      </c>
    </row>
    <row r="157" spans="1:4" x14ac:dyDescent="0.2">
      <c r="A157" t="str">
        <f>HYPERLINK("http://www.akb48wup.com/wp-content/uploads", "http://www.akb48wup.com/wp-content/uploads")</f>
        <v>http://www.akb48wup.com/wp-content/uploads</v>
      </c>
      <c r="B157" t="s">
        <v>5</v>
      </c>
      <c r="C157" t="str">
        <f>HYPERLINK("https://www.reddit.com/r/opendirectories/comments/i34i8n", "[NSFW] Photos of Asian Models/Porn")</f>
        <v>[NSFW] Photos of Asian Models/Porn</v>
      </c>
      <c r="D157" t="s">
        <v>449</v>
      </c>
    </row>
    <row r="158" spans="1:4" x14ac:dyDescent="0.2">
      <c r="A158" t="str">
        <f>HYPERLINK("http://51.255.68.3:8011", "http://51.255.68.3:8011")</f>
        <v>http://51.255.68.3:8011</v>
      </c>
      <c r="B158" t="s">
        <v>5</v>
      </c>
      <c r="C158" t="str">
        <f>HYPERLINK("https://www.reddit.com/r/opendirectories/comments/huou39", "misc stuff. Movies, books, music etc...")</f>
        <v>misc stuff. Movies, books, music etc...</v>
      </c>
      <c r="D158" t="s">
        <v>403</v>
      </c>
    </row>
    <row r="159" spans="1:4" x14ac:dyDescent="0.2">
      <c r="A159" t="str">
        <f>HYPERLINK("https://www.faflingerie.com/pic", "https://www.faflingerie.com/pic")</f>
        <v>https://www.faflingerie.com/pic</v>
      </c>
      <c r="B159" t="s">
        <v>5</v>
      </c>
      <c r="C159" t="str">
        <f>HYPERLINK("https://www.reddit.com/r/opendirectories/comments/hrvgom", "Good lingerie pics. Nsfw")</f>
        <v>Good lingerie pics. Nsfw</v>
      </c>
      <c r="D159" t="s">
        <v>700</v>
      </c>
    </row>
    <row r="160" spans="1:4" x14ac:dyDescent="0.2">
      <c r="A160" t="str">
        <f>HYPERLINK("https://www.tokyokinky.com/blog/wp-content/uploads", "https://www.tokyokinky.com/blog/wp-content/uploads")</f>
        <v>https://www.tokyokinky.com/blog/wp-content/uploads</v>
      </c>
      <c r="B160" t="s">
        <v>5</v>
      </c>
      <c r="C160" t="str">
        <f>HYPERLINK("https://www.reddit.com/r/opendirectories/comments/hq5906", "NSFW - Index of site tokyokinky.com")</f>
        <v>NSFW - Index of site tokyokinky.com</v>
      </c>
      <c r="D160" t="s">
        <v>485</v>
      </c>
    </row>
    <row r="161" spans="1:4" x14ac:dyDescent="0.2">
      <c r="A161" t="str">
        <f>HYPERLINK("https://www.futapo.com/wp-content/uploads", "https://www.futapo.com/wp-content/uploads")</f>
        <v>https://www.futapo.com/wp-content/uploads</v>
      </c>
      <c r="B161" t="s">
        <v>5</v>
      </c>
      <c r="C161" t="str">
        <f>HYPERLINK("https://www.reddit.com/r/opendirectories/comments/hpr6b8", "NSFW - Hentai / Funtari Index")</f>
        <v>NSFW - Hentai / Funtari Index</v>
      </c>
      <c r="D161" t="s">
        <v>404</v>
      </c>
    </row>
    <row r="162" spans="1:4" x14ac:dyDescent="0.2">
      <c r="A162" t="str">
        <f>HYPERLINK("http://lolibu.net/wp-content/uploads", "http://lolibu.net/wp-content/uploads")</f>
        <v>http://lolibu.net/wp-content/uploads</v>
      </c>
      <c r="B162" t="s">
        <v>5</v>
      </c>
      <c r="C162" t="str">
        <f>HYPERLINK("https://www.reddit.com/r/opendirectories/comments/hbzjod", "Some Asian pictures")</f>
        <v>Some Asian pictures</v>
      </c>
      <c r="D162" t="s">
        <v>739</v>
      </c>
    </row>
    <row r="163" spans="1:4" x14ac:dyDescent="0.2">
      <c r="A163" t="str">
        <f>HYPERLINK("https://artserotica.com/wp-content/uploads", "https://artserotica.com/wp-content/uploads")</f>
        <v>https://artserotica.com/wp-content/uploads</v>
      </c>
      <c r="B163" t="s">
        <v>5</v>
      </c>
      <c r="C163" t="str">
        <f t="shared" ref="C163:C168" si="8">HYPERLINK("https://www.reddit.com/r/opendirectories/comments/gquuut", "[NSFW] 10x Porn directories")</f>
        <v>[NSFW] 10x Porn directories</v>
      </c>
      <c r="D163" t="s">
        <v>85</v>
      </c>
    </row>
    <row r="164" spans="1:4" x14ac:dyDescent="0.2">
      <c r="A164" t="str">
        <f>HYPERLINK("http://hotpornpics.club/wp-content/uploads", "http://hotpornpics.club/wp-content/uploads")</f>
        <v>http://hotpornpics.club/wp-content/uploads</v>
      </c>
      <c r="B164" t="s">
        <v>5</v>
      </c>
      <c r="C164" t="str">
        <f t="shared" si="8"/>
        <v>[NSFW] 10x Porn directories</v>
      </c>
      <c r="D164" t="s">
        <v>85</v>
      </c>
    </row>
    <row r="165" spans="1:4" x14ac:dyDescent="0.2">
      <c r="A165" t="str">
        <f>HYPERLINK("http://www.pornosexgif.org/wp-content/uploads", "http://www.pornosexgif.org/wp-content/uploads")</f>
        <v>http://www.pornosexgif.org/wp-content/uploads</v>
      </c>
      <c r="B165" t="s">
        <v>5</v>
      </c>
      <c r="C165" t="str">
        <f t="shared" si="8"/>
        <v>[NSFW] 10x Porn directories</v>
      </c>
      <c r="D165" t="s">
        <v>85</v>
      </c>
    </row>
    <row r="166" spans="1:4" x14ac:dyDescent="0.2">
      <c r="A166" t="str">
        <f>HYPERLINK("http://www.young-couples.com/wp-content/uploads", "http://www.young-couples.com/wp-content/uploads")</f>
        <v>http://www.young-couples.com/wp-content/uploads</v>
      </c>
      <c r="B166" t="s">
        <v>5</v>
      </c>
      <c r="C166" t="str">
        <f t="shared" si="8"/>
        <v>[NSFW] 10x Porn directories</v>
      </c>
      <c r="D166" t="s">
        <v>85</v>
      </c>
    </row>
    <row r="167" spans="1:4" x14ac:dyDescent="0.2">
      <c r="A167" t="str">
        <f>HYPERLINK("https://thecamdude.com/wp-content/uploads", "https://thecamdude.com/wp-content/uploads")</f>
        <v>https://thecamdude.com/wp-content/uploads</v>
      </c>
      <c r="B167" t="s">
        <v>5</v>
      </c>
      <c r="C167" t="str">
        <f t="shared" si="8"/>
        <v>[NSFW] 10x Porn directories</v>
      </c>
      <c r="D167" t="s">
        <v>85</v>
      </c>
    </row>
    <row r="168" spans="1:4" x14ac:dyDescent="0.2">
      <c r="A168" t="str">
        <f>HYPERLINK("https://www.freshnudes.net/wp-content/uploads", "https://www.freshnudes.net/wp-content/uploads")</f>
        <v>https://www.freshnudes.net/wp-content/uploads</v>
      </c>
      <c r="B168" t="s">
        <v>5</v>
      </c>
      <c r="C168" t="str">
        <f t="shared" si="8"/>
        <v>[NSFW] 10x Porn directories</v>
      </c>
      <c r="D168" t="s">
        <v>85</v>
      </c>
    </row>
    <row r="169" spans="1:4" x14ac:dyDescent="0.2">
      <c r="A169" t="str">
        <f>HYPERLINK("https://passwordslive.com/wp-content/uploads", "https://passwordslive.com/wp-content/uploads")</f>
        <v>https://passwordslive.com/wp-content/uploads</v>
      </c>
      <c r="B169" t="s">
        <v>5</v>
      </c>
      <c r="C169" t="str">
        <f>HYPERLINK("https://www.reddit.com/r/opendirectories/comments/gqp271", "&amp;lt;NSFW&amp;gt; Another porn Wordpress OD &amp;lt;NSFW&amp;gt;")</f>
        <v>&amp;lt;NSFW&amp;gt; Another porn Wordpress OD &amp;lt;NSFW&amp;gt;</v>
      </c>
      <c r="D169" t="s">
        <v>85</v>
      </c>
    </row>
    <row r="170" spans="1:4" x14ac:dyDescent="0.2">
      <c r="A170" t="str">
        <f>HYPERLINK("http://www.myboobsite.com/photosa", "http://www.myboobsite.com/photosa")</f>
        <v>http://www.myboobsite.com/photosa</v>
      </c>
      <c r="B170" t="s">
        <v>5</v>
      </c>
      <c r="C170" t="str">
        <f>HYPERLINK("https://www.reddit.com/r/opendirectories/comments/g4mzxr", "I like Big Boobs and I cannot lie.")</f>
        <v>I like Big Boobs and I cannot lie.</v>
      </c>
      <c r="D170" t="s">
        <v>90</v>
      </c>
    </row>
    <row r="171" spans="1:4" x14ac:dyDescent="0.2">
      <c r="A171" t="str">
        <f>HYPERLINK("http://www.janburton.net/thumbs", "http://www.janburton.net/thumbs")</f>
        <v>http://www.janburton.net/thumbs</v>
      </c>
      <c r="B171" t="s">
        <v>5</v>
      </c>
      <c r="C171" t="str">
        <f>HYPERLINK("https://www.reddit.com/r/opendirectories/comments/g0e9ol", "[NSFW] Some more smut")</f>
        <v>[NSFW] Some more smut</v>
      </c>
      <c r="D171" t="s">
        <v>450</v>
      </c>
    </row>
    <row r="172" spans="1:4" x14ac:dyDescent="0.2">
      <c r="A172" t="str">
        <f>HYPERLINK("http://server9.mangovideo.pw", "http://server9.mangovideo.pw")</f>
        <v>http://server9.mangovideo.pw</v>
      </c>
      <c r="B172" t="s">
        <v>5</v>
      </c>
      <c r="C172" t="str">
        <f>HYPERLINK("https://www.reddit.com/r/opendirectories/comments/fga4pe", "Big porn movies Index")</f>
        <v>Big porn movies Index</v>
      </c>
      <c r="D172" t="s">
        <v>93</v>
      </c>
    </row>
    <row r="173" spans="1:4" x14ac:dyDescent="0.2">
      <c r="A173" t="str">
        <f>HYPERLINK("http://www.anorak.co.uk/wp-content/gallery", "http://www.anorak.co.uk/wp-content/gallery")</f>
        <v>http://www.anorak.co.uk/wp-content/gallery</v>
      </c>
      <c r="B173" t="s">
        <v>5</v>
      </c>
      <c r="C173" t="str">
        <f>HYPERLINK("https://www.reddit.com/r/opendirectories/comments/dk0njj", "Enterainment/news site phtoto index by article name (Some nsfw)")</f>
        <v>Enterainment/news site phtoto index by article name (Some nsfw)</v>
      </c>
      <c r="D173" t="s">
        <v>114</v>
      </c>
    </row>
    <row r="174" spans="1:4" x14ac:dyDescent="0.2">
      <c r="A174" t="str">
        <f>HYPERLINK("http://extreme-video.org/imagehosting", "http://extreme-video.org/imagehosting")</f>
        <v>http://extreme-video.org/imagehosting</v>
      </c>
      <c r="B174" t="s">
        <v>5</v>
      </c>
      <c r="C174" t="str">
        <f>HYPERLINK("https://www.reddit.com/r/opendirectories/comments/5ltjoa", "You probably DON'T want to see this. NSFW NSFL")</f>
        <v>You probably DON'T want to see this. NSFW NSFL</v>
      </c>
      <c r="D174" t="s">
        <v>208</v>
      </c>
    </row>
    <row r="175" spans="1:4" x14ac:dyDescent="0.2">
      <c r="A175" t="str">
        <f>HYPERLINK("http://fhg.camdough.com/x1", "http://fhg.camdough.com/x1")</f>
        <v>http://fhg.camdough.com/x1</v>
      </c>
      <c r="B175" t="s">
        <v>5</v>
      </c>
      <c r="C175" t="str">
        <f>HYPERLINK("https://www.reddit.com/r/opendirectories/comments/ew8bzv", "&amp;lt;NSFW&amp;gt; ASIAN WEBCAM SITE left their pictures out in the open (directory)")</f>
        <v>&amp;lt;NSFW&amp;gt; ASIAN WEBCAM SITE left their pictures out in the open (directory)</v>
      </c>
      <c r="D175" t="s">
        <v>742</v>
      </c>
    </row>
    <row r="176" spans="1:4" x14ac:dyDescent="0.2">
      <c r="A176" t="str">
        <f>HYPERLINK("http://fringe.davesource.com", "http://fringe.davesource.com")</f>
        <v>http://fringe.davesource.com</v>
      </c>
      <c r="B176" t="s">
        <v>5</v>
      </c>
      <c r="C176" t="str">
        <f>HYPERLINK("https://www.reddit.com/r/opendirectories/comments/8tprou", "I'm back again with the HAM!")</f>
        <v>I'm back again with the HAM!</v>
      </c>
      <c r="D176" t="s">
        <v>533</v>
      </c>
    </row>
    <row r="177" spans="1:5" x14ac:dyDescent="0.2">
      <c r="A177" t="str">
        <f>HYPERLINK("https://www.mmnt.net/db/0/0/90.157.118.223", "https://www.mmnt.net/db/0/0/90.157.118.223")</f>
        <v>https://www.mmnt.net/db/0/0/90.157.118.223</v>
      </c>
      <c r="B177" t="s">
        <v>5</v>
      </c>
      <c r="C177" t="str">
        <f>HYPERLINK("https://www.reddit.com/r/opendirectories/comments/eojdrf", "1080p Porn")</f>
        <v>1080p Porn</v>
      </c>
      <c r="D177" t="s">
        <v>776</v>
      </c>
    </row>
    <row r="178" spans="1:5" x14ac:dyDescent="0.2">
      <c r="A178" t="str">
        <f>HYPERLINK("http://cdn.deathmetal.org/zines", "http://cdn.deathmetal.org/zines")</f>
        <v>http://cdn.deathmetal.org/zines</v>
      </c>
      <c r="B178" t="s">
        <v>5</v>
      </c>
      <c r="C178" t="str">
        <f>HYPERLINK("https://www.reddit.com/r/opendirectories/comments/emny3h", "Metal Zines")</f>
        <v>Metal Zines</v>
      </c>
      <c r="D178" t="s">
        <v>777</v>
      </c>
      <c r="E178" t="s">
        <v>14</v>
      </c>
    </row>
    <row r="179" spans="1:5" x14ac:dyDescent="0.2">
      <c r="A179" t="str">
        <f>HYPERLINK("https://tocka.com.mk/images", "https://tocka.com.mk/images")</f>
        <v>https://tocka.com.mk/images</v>
      </c>
      <c r="B179" t="s">
        <v>5</v>
      </c>
      <c r="C179" t="str">
        <f>HYPERLINK("https://www.reddit.com/r/opendirectories/comments/e2gldh", "So many random images. No organization. Peeked a few NSFW.")</f>
        <v>So many random images. No organization. Peeked a few NSFW.</v>
      </c>
      <c r="D179" t="s">
        <v>744</v>
      </c>
    </row>
    <row r="180" spans="1:5" x14ac:dyDescent="0.2">
      <c r="A180" t="str">
        <f>HYPERLINK("http://www.aliceinbondageland.com/Affiliates", "http://www.aliceinbondageland.com/Affiliates")</f>
        <v>http://www.aliceinbondageland.com/Affiliates</v>
      </c>
      <c r="B180" t="s">
        <v>5</v>
      </c>
      <c r="C180" t="str">
        <f>HYPERLINK("https://www.reddit.com/r/opendirectories/comments/arz25c", "Bondage Porn")</f>
        <v>Bondage Porn</v>
      </c>
      <c r="D180" t="s">
        <v>324</v>
      </c>
    </row>
    <row r="181" spans="1:5" x14ac:dyDescent="0.2">
      <c r="A181" t="str">
        <f>HYPERLINK("http://download.nust.na/pub2", "http://download.nust.na/pub2")</f>
        <v>http://download.nust.na/pub2</v>
      </c>
      <c r="B181" t="s">
        <v>5</v>
      </c>
      <c r="C181" t="str">
        <f>HYPERLINK("https://www.reddit.com/r/opendirectories/comments/aud8yi", "Was looking for a specific open directory, found some interesting ones on the way/")</f>
        <v>Was looking for a specific open directory, found some interesting ones on the way/</v>
      </c>
      <c r="D181" t="s">
        <v>138</v>
      </c>
      <c r="E181" t="s">
        <v>14</v>
      </c>
    </row>
    <row r="182" spans="1:5" x14ac:dyDescent="0.2">
      <c r="A182" t="str">
        <f>HYPERLINK("http://www.pauladaunt.com/books", "http://www.pauladaunt.com/books")</f>
        <v>http://www.pauladaunt.com/books</v>
      </c>
      <c r="B182" t="s">
        <v>5</v>
      </c>
      <c r="C182" t="str">
        <f>HYPERLINK("https://www.reddit.com/r/opendirectories/comments/dqa0ts", "Conspiracy theory books")</f>
        <v>Conspiracy theory books</v>
      </c>
      <c r="D182" t="s">
        <v>111</v>
      </c>
    </row>
    <row r="183" spans="1:5" x14ac:dyDescent="0.2">
      <c r="A183" t="str">
        <f>HYPERLINK("http://ftp.dlink.ru", "http://ftp.dlink.ru")</f>
        <v>http://ftp.dlink.ru</v>
      </c>
      <c r="B183" t="s">
        <v>5</v>
      </c>
      <c r="C183" t="str">
        <f>HYPERLINK("https://www.reddit.com/r/opendirectories/comments/dggqp4", "Manuals in Russian.")</f>
        <v>Manuals in Russian.</v>
      </c>
      <c r="D183" t="s">
        <v>536</v>
      </c>
      <c r="E183" t="s">
        <v>156</v>
      </c>
    </row>
    <row r="184" spans="1:5" x14ac:dyDescent="0.2">
      <c r="A184" t="str">
        <f>HYPERLINK("http://miscellaneous.archive.tjw.moe", "http://miscellaneous.archive.tjw.moe")</f>
        <v>http://miscellaneous.archive.tjw.moe</v>
      </c>
      <c r="B184" t="s">
        <v>5</v>
      </c>
      <c r="C184" t="str">
        <f>HYPERLINK("https://www.reddit.com/r/opendirectories/comments/dfred1", "I hear that people like weird collections around here. Possibly NSFW.")</f>
        <v>I hear that people like weird collections around here. Possibly NSFW.</v>
      </c>
      <c r="D184" t="s">
        <v>778</v>
      </c>
    </row>
    <row r="185" spans="1:5" x14ac:dyDescent="0.2">
      <c r="A185" t="str">
        <f>HYPERLINK("http://archive.ics.uci.edu/ml/machine-learning-databases", "http://archive.ics.uci.edu/ml/machine-learning-databases")</f>
        <v>http://archive.ics.uci.edu/ml/machine-learning-databases</v>
      </c>
      <c r="B185" t="s">
        <v>5</v>
      </c>
      <c r="C185" t="str">
        <f>HYPERLINK("https://www.reddit.com/r/opendirectories/comments/dasf39", "Machine Learning Datasets")</f>
        <v>Machine Learning Datasets</v>
      </c>
      <c r="D185" t="s">
        <v>653</v>
      </c>
    </row>
    <row r="186" spans="1:5" x14ac:dyDescent="0.2">
      <c r="A186" t="str">
        <f>HYPERLINK("http://digitalminx.com/photos", "http://digitalminx.com/photos")</f>
        <v>http://digitalminx.com/photos</v>
      </c>
      <c r="B186" t="s">
        <v>5</v>
      </c>
      <c r="C186" t="str">
        <f>HYPERLINK("https://www.reddit.com/r/opendirectories/comments/3ox2sa", "Nice pics of Stars - only females ?")</f>
        <v>Nice pics of Stars - only females ?</v>
      </c>
      <c r="D186" t="s">
        <v>779</v>
      </c>
    </row>
    <row r="187" spans="1:5" x14ac:dyDescent="0.2">
      <c r="A187" t="str">
        <f>HYPERLINK("http://respectdrumandbass.com/livesets", "http://respectdrumandbass.com/livesets")</f>
        <v>http://respectdrumandbass.com/livesets</v>
      </c>
      <c r="B187" t="s">
        <v>5</v>
      </c>
      <c r="C187" t="str">
        <f t="shared" ref="C187:C192" si="9">HYPERLINK("https://www.reddit.com/r/opendirectories/comments/aud8yi", "Was looking for a specific open directory, found some interesting ones on the way/")</f>
        <v>Was looking for a specific open directory, found some interesting ones on the way/</v>
      </c>
      <c r="D187" t="s">
        <v>138</v>
      </c>
      <c r="E187" t="s">
        <v>14</v>
      </c>
    </row>
    <row r="188" spans="1:5" x14ac:dyDescent="0.2">
      <c r="A188" t="str">
        <f>HYPERLINK("http://cdn.nrm.com.mx/cdn", "http://cdn.nrm.com.mx/cdn")</f>
        <v>http://cdn.nrm.com.mx/cdn</v>
      </c>
      <c r="B188" t="s">
        <v>5</v>
      </c>
      <c r="C188" t="str">
        <f t="shared" si="9"/>
        <v>Was looking for a specific open directory, found some interesting ones on the way/</v>
      </c>
      <c r="D188" t="s">
        <v>138</v>
      </c>
      <c r="E188" t="s">
        <v>14</v>
      </c>
    </row>
    <row r="189" spans="1:5" x14ac:dyDescent="0.2">
      <c r="A189" t="str">
        <f>HYPERLINK("http://www.examplemedia.co.uk/pr/georgebox", "http://www.examplemedia.co.uk/pr/georgebox")</f>
        <v>http://www.examplemedia.co.uk/pr/georgebox</v>
      </c>
      <c r="B189" t="s">
        <v>5</v>
      </c>
      <c r="C189" t="str">
        <f t="shared" si="9"/>
        <v>Was looking for a specific open directory, found some interesting ones on the way/</v>
      </c>
      <c r="D189" t="s">
        <v>138</v>
      </c>
      <c r="E189" t="s">
        <v>14</v>
      </c>
    </row>
    <row r="190" spans="1:5" x14ac:dyDescent="0.2">
      <c r="A190" t="str">
        <f>HYPERLINK("http://ftp.heanet.ie/mirrors", "http://ftp.heanet.ie/mirrors")</f>
        <v>http://ftp.heanet.ie/mirrors</v>
      </c>
      <c r="B190" t="s">
        <v>5</v>
      </c>
      <c r="C190" t="str">
        <f t="shared" si="9"/>
        <v>Was looking for a specific open directory, found some interesting ones on the way/</v>
      </c>
      <c r="D190" t="s">
        <v>138</v>
      </c>
      <c r="E190" t="s">
        <v>14</v>
      </c>
    </row>
    <row r="191" spans="1:5" x14ac:dyDescent="0.2">
      <c r="A191" t="str">
        <f>HYPERLINK("https://img.downloadha.com", "https://img.downloadha.com")</f>
        <v>https://img.downloadha.com</v>
      </c>
      <c r="B191" t="s">
        <v>5</v>
      </c>
      <c r="C191" t="str">
        <f t="shared" si="9"/>
        <v>Was looking for a specific open directory, found some interesting ones on the way/</v>
      </c>
      <c r="D191" t="s">
        <v>138</v>
      </c>
      <c r="E191" t="s">
        <v>14</v>
      </c>
    </row>
    <row r="192" spans="1:5" x14ac:dyDescent="0.2">
      <c r="A192" t="str">
        <f>HYPERLINK("http://dafl.tlhc.ylc.edu.tw/tts", "http://dafl.tlhc.ylc.edu.tw/tts")</f>
        <v>http://dafl.tlhc.ylc.edu.tw/tts</v>
      </c>
      <c r="B192" t="s">
        <v>5</v>
      </c>
      <c r="C192" t="str">
        <f t="shared" si="9"/>
        <v>Was looking for a specific open directory, found some interesting ones on the way/</v>
      </c>
      <c r="D192" t="s">
        <v>138</v>
      </c>
      <c r="E192" t="s">
        <v>14</v>
      </c>
    </row>
    <row r="193" spans="1:5" x14ac:dyDescent="0.2">
      <c r="A193" t="str">
        <f>HYPERLINK("http://bork.informatik.uni-erlangen.de", "http://bork.informatik.uni-erlangen.de")</f>
        <v>http://bork.informatik.uni-erlangen.de</v>
      </c>
      <c r="B193" t="s">
        <v>5</v>
      </c>
      <c r="C193" t="str">
        <f>HYPERLINK("https://www.reddit.com/r/opendirectories/comments/at4w1k", "CRYPTO/SECURITY RELATED VIDEOS (LOTS OF THEM/COULD BE NSFW)")</f>
        <v>CRYPTO/SECURITY RELATED VIDEOS (LOTS OF THEM/COULD BE NSFW)</v>
      </c>
      <c r="D193" t="s">
        <v>284</v>
      </c>
    </row>
    <row r="194" spans="1:5" x14ac:dyDescent="0.2">
      <c r="A194" t="str">
        <f>HYPERLINK("http://yourmom.likesbuttse.xxx/stuff", "http://yourmom.likesbuttse.xxx/stuff")</f>
        <v>http://yourmom.likesbuttse.xxx/stuff</v>
      </c>
      <c r="B194" t="s">
        <v>5</v>
      </c>
      <c r="C194" t="str">
        <f>HYPERLINK("https://www.reddit.com/r/opendirectories/comments/akigdt", "{NSFW} Can't decide a Title [~10MB/s]")</f>
        <v>{NSFW} Can't decide a Title [~10MB/s]</v>
      </c>
      <c r="D194" t="s">
        <v>453</v>
      </c>
    </row>
    <row r="195" spans="1:5" x14ac:dyDescent="0.2">
      <c r="A195" t="str">
        <f>HYPERLINK("https://mandyflores.com/content", "https://mandyflores.com/content")</f>
        <v>https://mandyflores.com/content</v>
      </c>
      <c r="B195" t="s">
        <v>5</v>
      </c>
      <c r="C195" t="str">
        <f>HYPERLINK("https://www.reddit.com/r/opendirectories/comments/ahnqpg", "NSFW photosets")</f>
        <v>NSFW photosets</v>
      </c>
      <c r="D195" t="s">
        <v>494</v>
      </c>
    </row>
    <row r="196" spans="1:5" x14ac:dyDescent="0.2">
      <c r="A196" t="str">
        <f>HYPERLINK("http://viz.co.uk/wp-content/uploads", "http://viz.co.uk/wp-content/uploads")</f>
        <v>http://viz.co.uk/wp-content/uploads</v>
      </c>
      <c r="B196" t="s">
        <v>5</v>
      </c>
      <c r="C196" t="str">
        <f>HYPERLINK("https://www.reddit.com/r/opendirectories/comments/afh04n", "small and smutty (NSFW)")</f>
        <v>small and smutty (NSFW)</v>
      </c>
      <c r="D196" t="s">
        <v>539</v>
      </c>
    </row>
    <row r="197" spans="1:5" x14ac:dyDescent="0.2">
      <c r="A197" t="str">
        <f>HYPERLINK("http://www.bigbreastarchive.com/images", "http://www.bigbreastarchive.com/images")</f>
        <v>http://www.bigbreastarchive.com/images</v>
      </c>
      <c r="B197" t="s">
        <v>5</v>
      </c>
      <c r="C197" t="str">
        <f>HYPERLINK("https://www.reddit.com/r/opendirectories/comments/3psi8a", "NSFW: Lotsa boob pics, sorted by model")</f>
        <v>NSFW: Lotsa boob pics, sorted by model</v>
      </c>
      <c r="D197" t="s">
        <v>780</v>
      </c>
    </row>
    <row r="198" spans="1:5" x14ac:dyDescent="0.2">
      <c r="A198" t="str">
        <f>HYPERLINK("http://kuukunen.net/flash", "http://kuukunen.net/flash")</f>
        <v>http://kuukunen.net/flash</v>
      </c>
      <c r="B198" t="s">
        <v>5</v>
      </c>
      <c r="C198" t="str">
        <f>HYPERLINK("https://www.reddit.com/r/opendirectories/comments/15dcxl", "Lots of flash videos/games (.swf)")</f>
        <v>Lots of flash videos/games (.swf)</v>
      </c>
      <c r="D198" t="s">
        <v>341</v>
      </c>
    </row>
    <row r="199" spans="1:5" x14ac:dyDescent="0.2">
      <c r="A199" t="str">
        <f>HYPERLINK("https://info.stylee32.net", "https://info.stylee32.net")</f>
        <v>https://info.stylee32.net</v>
      </c>
      <c r="B199" t="s">
        <v>5</v>
      </c>
      <c r="C199" t="str">
        <f>HYPERLINK("https://www.reddit.com/r/opendirectories/comments/6xp5wl", "NSFW: Tons of pics including cam girls, lots of other random SFW in parent dirs.")</f>
        <v>NSFW: Tons of pics including cam girls, lots of other random SFW in parent dirs.</v>
      </c>
      <c r="D199" t="s">
        <v>622</v>
      </c>
    </row>
    <row r="200" spans="1:5" x14ac:dyDescent="0.2">
      <c r="A200" t="str">
        <f>HYPERLINK("http://www.mmnt.net/db/0/0/188.134.70.53", "http://www.mmnt.net/db/0/0/188.134.70.53")</f>
        <v>http://www.mmnt.net/db/0/0/188.134.70.53</v>
      </c>
      <c r="B200" t="s">
        <v>5</v>
      </c>
      <c r="C200" t="str">
        <f>HYPERLINK("https://www.reddit.com/r/opendirectories/comments/9h1lz6", "[NSFW] Need help with this ftp server")</f>
        <v>[NSFW] Need help with this ftp server</v>
      </c>
      <c r="D200" t="s">
        <v>657</v>
      </c>
    </row>
    <row r="201" spans="1:5" x14ac:dyDescent="0.2">
      <c r="A201" t="str">
        <f>HYPERLINK("http://www.gunnrunnaz.com/gunnrunnaz", "http://www.gunnrunnaz.com/gunnrunnaz")</f>
        <v>http://www.gunnrunnaz.com/gunnrunnaz</v>
      </c>
      <c r="B201" t="s">
        <v>5</v>
      </c>
      <c r="C201" t="str">
        <f>HYPERLINK("https://www.reddit.com/r/opendirectories/comments/9dlu6t", "Odd Collections of Stuff [NSFW]")</f>
        <v>Odd Collections of Stuff [NSFW]</v>
      </c>
      <c r="D201" t="s">
        <v>781</v>
      </c>
    </row>
    <row r="202" spans="1:5" x14ac:dyDescent="0.2">
      <c r="A202" t="str">
        <f>HYPERLINK("http://prikol.ru/wp-content/gallery", "http://prikol.ru/wp-content/gallery")</f>
        <v>http://prikol.ru/wp-content/gallery</v>
      </c>
      <c r="B202" t="s">
        <v>5</v>
      </c>
      <c r="C202" t="str">
        <f>HYPERLINK("https://www.reddit.com/r/opendirectories/comments/9d0uoj", "Russian Photo Site - I Don't Speak The Language (NSFW)")</f>
        <v>Russian Photo Site - I Don't Speak The Language (NSFW)</v>
      </c>
      <c r="D202" t="s">
        <v>497</v>
      </c>
      <c r="E202" t="s">
        <v>8</v>
      </c>
    </row>
    <row r="203" spans="1:5" x14ac:dyDescent="0.2">
      <c r="A203" t="str">
        <f>HYPERLINK("http://www.cs.huji.ac.il/~shekel/comics-and-funnypics", "http://www.cs.huji.ac.il/~shekel/comics-and-funnypics")</f>
        <v>http://www.cs.huji.ac.il/~shekel/comics-and-funnypics</v>
      </c>
      <c r="B203" t="s">
        <v>5</v>
      </c>
      <c r="C203" t="str">
        <f>HYPERLINK("https://www.reddit.com/r/opendirectories/comments/972mdq", "Random find (NSFW to be sure)")</f>
        <v>Random find (NSFW to be sure)</v>
      </c>
      <c r="D203" t="s">
        <v>159</v>
      </c>
    </row>
    <row r="204" spans="1:5" x14ac:dyDescent="0.2">
      <c r="A204" t="str">
        <f>HYPERLINK("http://vintagesleaze.com/vsimages-mags-adult-glossy-70s", "http://vintagesleaze.com/vsimages-mags-adult-glossy-70s")</f>
        <v>http://vintagesleaze.com/vsimages-mags-adult-glossy-70s</v>
      </c>
      <c r="B204" t="s">
        <v>5</v>
      </c>
      <c r="C204" t="str">
        <f>HYPERLINK("https://www.reddit.com/r/opendirectories/comments/8pmq7p", "Vintage Sex Magazines From the 70's")</f>
        <v>Vintage Sex Magazines From the 70's</v>
      </c>
      <c r="D204" t="s">
        <v>782</v>
      </c>
    </row>
    <row r="205" spans="1:5" x14ac:dyDescent="0.2">
      <c r="A205" t="str">
        <f>HYPERLINK("https://kawaiiyuri.com/playboy", "https://kawaiiyuri.com/playboy")</f>
        <v>https://kawaiiyuri.com/playboy</v>
      </c>
      <c r="B205" t="s">
        <v>5</v>
      </c>
      <c r="C205" t="str">
        <f>HYPERLINK("https://www.reddit.com/r/opendirectories/comments/8bl72g", "NSFW: A couple of recent Playboys and some random stuff in PD.")</f>
        <v>NSFW: A couple of recent Playboys and some random stuff in PD.</v>
      </c>
      <c r="D205" t="s">
        <v>173</v>
      </c>
    </row>
    <row r="206" spans="1:5" x14ac:dyDescent="0.2">
      <c r="A206" t="str">
        <f>HYPERLINK("https://10gbps.io", "https://10gbps.io")</f>
        <v>https://10gbps.io</v>
      </c>
      <c r="B206" t="s">
        <v>5</v>
      </c>
      <c r="C206" t="str">
        <f>HYPERLINK("https://www.reddit.com/r/opendirectories/comments/7gs0f2", "Google Index Search Engine @ The-Eye")</f>
        <v>Google Index Search Engine @ The-Eye</v>
      </c>
      <c r="D206" t="s">
        <v>346</v>
      </c>
    </row>
    <row r="207" spans="1:5" x14ac:dyDescent="0.2">
      <c r="A207" t="str">
        <f>HYPERLINK("http://mas.adult-services.net/content/exwives", "http://mas.adult-services.net/content/exwives")</f>
        <v>http://mas.adult-services.net/content/exwives</v>
      </c>
      <c r="B207" t="s">
        <v>5</v>
      </c>
      <c r="C207" t="str">
        <f>HYPERLINK("https://www.reddit.com/r/opendirectories/comments/7pq6il", "It looks like a failed porn site [nsfw]")</f>
        <v>It looks like a failed porn site [nsfw]</v>
      </c>
      <c r="D207" t="s">
        <v>783</v>
      </c>
    </row>
    <row r="208" spans="1:5" x14ac:dyDescent="0.2">
      <c r="A208" t="str">
        <f>HYPERLINK("http://lazarenko.net/pl_all", "http://lazarenko.net/pl_all")</f>
        <v>http://lazarenko.net/pl_all</v>
      </c>
      <c r="B208" t="s">
        <v>5</v>
      </c>
      <c r="C208" t="str">
        <f>HYPERLINK("https://www.reddit.com/r/opendirectories/comments/6txwnj", "Playboy Bunny 1953/01 to 2002/07 [nsfw]")</f>
        <v>Playboy Bunny 1953/01 to 2002/07 [nsfw]</v>
      </c>
      <c r="D208" t="s">
        <v>784</v>
      </c>
    </row>
    <row r="209" spans="1:5" x14ac:dyDescent="0.2">
      <c r="A209" t="str">
        <f>HYPERLINK("http://ezine.nitroexpress.info", "http://ezine.nitroexpress.info")</f>
        <v>http://ezine.nitroexpress.info</v>
      </c>
      <c r="B209" t="s">
        <v>5</v>
      </c>
      <c r="C209" t="str">
        <f>HYPERLINK("https://www.reddit.com/r/opendirectories/comments/6gh6tc", "[nsfw] nudies, scanned books and other junk")</f>
        <v>[nsfw] nudies, scanned books and other junk</v>
      </c>
      <c r="D209" t="s">
        <v>197</v>
      </c>
    </row>
    <row r="210" spans="1:5" x14ac:dyDescent="0.2">
      <c r="A210" t="str">
        <f>HYPERLINK("https://rmccurdy.com/gal/femalecelebs", "https://rmccurdy.com/gal/femalecelebs")</f>
        <v>https://rmccurdy.com/gal/femalecelebs</v>
      </c>
      <c r="B210" t="s">
        <v>5</v>
      </c>
      <c r="C210" t="str">
        <f>HYPERLINK("https://www.reddit.com/r/opendirectories/comments/6cg46m", "Link to Celeb Photos might be some NSFW but i haven't seen any so far just taste full pics of celebs i don't see much")</f>
        <v>Link to Celeb Photos might be some NSFW but i haven't seen any so far just taste full pics of celebs i don't see much</v>
      </c>
      <c r="D210" t="s">
        <v>708</v>
      </c>
    </row>
    <row r="211" spans="1:5" x14ac:dyDescent="0.2">
      <c r="A211" t="str">
        <f>HYPERLINK("http://arcarc.xmission.com", "http://arcarc.xmission.com")</f>
        <v>http://arcarc.xmission.com</v>
      </c>
      <c r="B211" t="s">
        <v>5</v>
      </c>
      <c r="C211" t="str">
        <f>HYPERLINK("https://www.reddit.com/r/opendirectories/comments/2pjeyo", "Very Large Arcade Manual Listing")</f>
        <v>Very Large Arcade Manual Listing</v>
      </c>
      <c r="D211" t="s">
        <v>628</v>
      </c>
    </row>
    <row r="212" spans="1:5" x14ac:dyDescent="0.2">
      <c r="A212" t="str">
        <f>HYPERLINK("http://marla-isp.ludost.net", "http://marla-isp.ludost.net")</f>
        <v>http://marla-isp.ludost.net</v>
      </c>
      <c r="B212" t="s">
        <v>5</v>
      </c>
      <c r="C212" t="str">
        <f>HYPERLINK("https://www.reddit.com/r/opendirectories/comments/51y38z", "Nice collection of subbed anime ... Mostly SFW")</f>
        <v>Nice collection of subbed anime ... Mostly SFW</v>
      </c>
      <c r="D212" t="s">
        <v>352</v>
      </c>
    </row>
    <row r="213" spans="1:5" x14ac:dyDescent="0.2">
      <c r="A213" t="str">
        <f>HYPERLINK("http://www.young-couples.com/wp-content/gallery", "http://www.young-couples.com/wp-content/gallery")</f>
        <v>http://www.young-couples.com/wp-content/gallery</v>
      </c>
      <c r="B213" t="s">
        <v>5</v>
      </c>
      <c r="C213" t="str">
        <f>HYPERLINK("https://www.reddit.com/r/opendirectories/comments/5n0o15", "More boring porn")</f>
        <v>More boring porn</v>
      </c>
      <c r="D213" t="s">
        <v>206</v>
      </c>
    </row>
    <row r="214" spans="1:5" x14ac:dyDescent="0.2">
      <c r="A214" t="str">
        <f>HYPERLINK("http://www.russianamerica.com/common/gfx", "http://www.russianamerica.com/common/gfx")</f>
        <v>http://www.russianamerica.com/common/gfx</v>
      </c>
      <c r="B214" t="s">
        <v>5</v>
      </c>
      <c r="C214" t="str">
        <f>HYPERLINK("https://www.reddit.com/r/opendirectories/comments/2yythg", "[NSFW] A Russian Wife. Only one picture with exposed boobs in this entire album, mildly exhilarating to search for it one by one.")</f>
        <v>[NSFW] A Russian Wife. Only one picture with exposed boobs in this entire album, mildly exhilarating to search for it one by one.</v>
      </c>
      <c r="D214" t="s">
        <v>760</v>
      </c>
      <c r="E214" t="s">
        <v>8</v>
      </c>
    </row>
    <row r="215" spans="1:5" x14ac:dyDescent="0.2">
      <c r="A215" t="str">
        <f>HYPERLINK("http://www.101modeling.com/site/talent", "http://www.101modeling.com/site/talent")</f>
        <v>http://www.101modeling.com/site/talent</v>
      </c>
      <c r="B215" t="s">
        <v>5</v>
      </c>
      <c r="C215" t="str">
        <f>HYPERLINK("https://www.reddit.com/r/opendirectories/comments/5a9s7u", "NSFW pictures")</f>
        <v>NSFW pictures</v>
      </c>
      <c r="D215" t="s">
        <v>761</v>
      </c>
    </row>
    <row r="216" spans="1:5" x14ac:dyDescent="0.2">
      <c r="A216" t="str">
        <f>HYPERLINK("http://www.prikol.ru/wp-content/gallery", "http://www.prikol.ru/wp-content/gallery")</f>
        <v>http://www.prikol.ru/wp-content/gallery</v>
      </c>
      <c r="B216" t="s">
        <v>5</v>
      </c>
      <c r="C216" t="str">
        <f>HYPERLINK("https://www.reddit.com/r/opendirectories/comments/595yxu", "Massive Gallery of photographer's images - some NSFW")</f>
        <v>Massive Gallery of photographer's images - some NSFW</v>
      </c>
      <c r="D216" t="s">
        <v>709</v>
      </c>
    </row>
    <row r="217" spans="1:5" x14ac:dyDescent="0.2">
      <c r="A217" t="str">
        <f>HYPERLINK("http://codeazur.com.br/pix", "http://codeazur.com.br/pix")</f>
        <v>http://codeazur.com.br/pix</v>
      </c>
      <c r="B217" t="s">
        <v>5</v>
      </c>
      <c r="C217" t="str">
        <f>HYPERLINK("https://www.reddit.com/r/opendirectories/comments/595r8z", "Large collection of pictures - some NSFW!")</f>
        <v>Large collection of pictures - some NSFW!</v>
      </c>
      <c r="D217" t="s">
        <v>709</v>
      </c>
    </row>
    <row r="218" spans="1:5" x14ac:dyDescent="0.2">
      <c r="A218" t="str">
        <f>HYPERLINK("http://info.stylee32.net", "http://info.stylee32.net")</f>
        <v>http://info.stylee32.net</v>
      </c>
      <c r="B218" t="s">
        <v>5</v>
      </c>
      <c r="C218" t="str">
        <f>HYPERLINK("https://www.reddit.com/r/opendirectories/comments/2m185o", "NSFW: All sorts of Pron")</f>
        <v>NSFW: All sorts of Pron</v>
      </c>
      <c r="D218" t="s">
        <v>766</v>
      </c>
    </row>
    <row r="219" spans="1:5" x14ac:dyDescent="0.2">
      <c r="A219" t="str">
        <f>HYPERLINK("http://videocelebrities.eu/wp-content/uploads", "http://videocelebrities.eu/wp-content/uploads")</f>
        <v>http://videocelebrities.eu/wp-content/uploads</v>
      </c>
      <c r="B219" t="s">
        <v>5</v>
      </c>
      <c r="C219" t="str">
        <f>HYPERLINK("https://www.reddit.com/r/opendirectories/comments/46k9ke", "Celebrity Oops-See Thru-Etc NSFW")</f>
        <v>Celebrity Oops-See Thru-Etc NSFW</v>
      </c>
      <c r="D219" t="s">
        <v>785</v>
      </c>
    </row>
    <row r="220" spans="1:5" x14ac:dyDescent="0.2">
      <c r="A220" t="str">
        <f>HYPERLINK("http://www.princess-emily.com/albums", "http://www.princess-emily.com/albums")</f>
        <v>http://www.princess-emily.com/albums</v>
      </c>
      <c r="B220" t="s">
        <v>5</v>
      </c>
      <c r="C220" t="str">
        <f>HYPERLINK("https://www.reddit.com/r/opendirectories/comments/3uu2qy", "Princess Emily - picture albums (likely NSFW but I didn't check)")</f>
        <v>Princess Emily - picture albums (likely NSFW but I didn't check)</v>
      </c>
      <c r="D220" t="s">
        <v>767</v>
      </c>
    </row>
    <row r="221" spans="1:5" x14ac:dyDescent="0.2">
      <c r="A221" t="str">
        <f>HYPERLINK("http://www.policeprostitutionandpolitics.com/pdfs_all", "http://www.policeprostitutionandpolitics.com/pdfs_all")</f>
        <v>http://www.policeprostitutionandpolitics.com/pdfs_all</v>
      </c>
      <c r="B221" t="s">
        <v>5</v>
      </c>
      <c r="C221" t="str">
        <f>HYPERLINK("https://www.reddit.com/r/opendirectories/comments/3tctih", "[NSFW] PDF archive of articles related to police and sexual violence.")</f>
        <v>[NSFW] PDF archive of articles related to police and sexual violence.</v>
      </c>
      <c r="D221" t="s">
        <v>236</v>
      </c>
    </row>
    <row r="222" spans="1:5" x14ac:dyDescent="0.2">
      <c r="A222" t="str">
        <f>HYPERLINK("http://vintagesleaze.com/vsimages-mags-adult-glossy", "http://vintagesleaze.com/vsimages-mags-adult-glossy")</f>
        <v>http://vintagesleaze.com/vsimages-mags-adult-glossy</v>
      </c>
      <c r="B222" t="s">
        <v>5</v>
      </c>
      <c r="C222" t="str">
        <f>HYPERLINK("https://www.reddit.com/r/opendirectories/comments/3rzsav", "Your Father's Porn Stash.....NSFW")</f>
        <v>Your Father's Porn Stash.....NSFW</v>
      </c>
      <c r="D222" t="s">
        <v>786</v>
      </c>
    </row>
    <row r="223" spans="1:5" x14ac:dyDescent="0.2">
      <c r="A223" t="str">
        <f>HYPERLINK("http://marc.merlins.org", "http://marc.merlins.org")</f>
        <v>http://marc.merlins.org</v>
      </c>
      <c r="B223" t="s">
        <v>5</v>
      </c>
      <c r="C223" t="str">
        <f>HYPERLINK("https://www.reddit.com/r/opendirectories/comments/3q9lef", "Burning Tree...Mildly NSFW")</f>
        <v>Burning Tree...Mildly NSFW</v>
      </c>
      <c r="D223" t="s">
        <v>787</v>
      </c>
    </row>
    <row r="224" spans="1:5" x14ac:dyDescent="0.2">
      <c r="A224" t="str">
        <f>HYPERLINK("http://mas.adult-services.net/content/upload1pics", "http://mas.adult-services.net/content/upload1pics")</f>
        <v>http://mas.adult-services.net/content/upload1pics</v>
      </c>
      <c r="B224" t="s">
        <v>5</v>
      </c>
      <c r="C224" t="str">
        <f>HYPERLINK("https://www.reddit.com/r/opendirectories/comments/3oiad5", "NSFW: Well-sorted directory of older pics (90s, early 2000s?), mostly nude women, some couples &amp;amp; lesbian")</f>
        <v>NSFW: Well-sorted directory of older pics (90s, early 2000s?), mostly nude women, some couples &amp;amp; lesbian</v>
      </c>
      <c r="D224" t="s">
        <v>788</v>
      </c>
    </row>
    <row r="225" spans="1:4" x14ac:dyDescent="0.2">
      <c r="A225" t="str">
        <f>HYPERLINK("http://www.naughtybits.us/wp-content/uploads", "http://www.naughtybits.us/wp-content/uploads")</f>
        <v>http://www.naughtybits.us/wp-content/uploads</v>
      </c>
      <c r="B225" t="s">
        <v>5</v>
      </c>
      <c r="C225" t="str">
        <f>HYPERLINK("https://www.reddit.com/r/opendirectories/comments/3csu6w", "[NSFW] Funny Images")</f>
        <v>[NSFW] Funny Images</v>
      </c>
      <c r="D225" t="s">
        <v>770</v>
      </c>
    </row>
    <row r="226" spans="1:4" x14ac:dyDescent="0.2">
      <c r="A226" t="str">
        <f>HYPERLINK("http://www.stylebrity.co.uk/wp-content/gallery", "http://www.stylebrity.co.uk/wp-content/gallery")</f>
        <v>http://www.stylebrity.co.uk/wp-content/gallery</v>
      </c>
      <c r="B226" t="s">
        <v>5</v>
      </c>
      <c r="C226" t="str">
        <f>HYPERLINK("https://www.reddit.com/r/opendirectories/comments/345rxf", "Some Interesting Fashion (some NSFW)")</f>
        <v>Some Interesting Fashion (some NSFW)</v>
      </c>
      <c r="D226" t="s">
        <v>789</v>
      </c>
    </row>
    <row r="227" spans="1:4" x14ac:dyDescent="0.2">
      <c r="A227" t="str">
        <f>HYPERLINK("http://www.tcnj.edu/~hofmann/humor/Misc", "http://www.tcnj.edu/~hofmann/humor/Misc")</f>
        <v>http://www.tcnj.edu/~hofmann/humor/Misc</v>
      </c>
      <c r="B227" t="s">
        <v>5</v>
      </c>
      <c r="C227" t="str">
        <f>HYPERLINK("https://www.reddit.com/r/opendirectories/comments/2j0mlt", "Need a Laugh? (Many NSFW)")</f>
        <v>Need a Laugh? (Many NSFW)</v>
      </c>
      <c r="D227" t="s">
        <v>790</v>
      </c>
    </row>
    <row r="228" spans="1:4" x14ac:dyDescent="0.2">
      <c r="A228" t="str">
        <f>HYPERLINK("http://www.mybarebutt.com/images", "http://www.mybarebutt.com/images")</f>
        <v>http://www.mybarebutt.com/images</v>
      </c>
      <c r="B228" t="s">
        <v>5</v>
      </c>
      <c r="C228" t="str">
        <f>HYPERLINK("https://www.reddit.com/r/opendirectories/comments/anyxn", "My Bare Butt (NSFW)")</f>
        <v>My Bare Butt (NSFW)</v>
      </c>
      <c r="D228" t="s">
        <v>791</v>
      </c>
    </row>
  </sheetData>
  <pageMargins left="0.75" right="0.75" top="1" bottom="1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9"/>
  <sheetViews>
    <sheetView zoomScaleNormal="100" workbookViewId="0">
      <selection activeCell="A21" sqref="A21"/>
    </sheetView>
  </sheetViews>
  <sheetFormatPr baseColWidth="10" defaultColWidth="8.83203125" defaultRowHeight="15" x14ac:dyDescent="0.2"/>
  <cols>
    <col min="1" max="1" width="50" customWidth="1"/>
    <col min="3" max="3" width="80" customWidth="1"/>
    <col min="4" max="4" width="11" customWidth="1"/>
    <col min="5" max="5" width="80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tr">
        <f>HYPERLINK("http://ingar.intranifty.net", "http://ingar.intranifty.net")</f>
        <v>http://ingar.intranifty.net</v>
      </c>
      <c r="B2" t="s">
        <v>5</v>
      </c>
      <c r="C2" t="str">
        <f t="shared" ref="C2:C10" si="0">HYPERLINK("https://www.reddit.com/r/opendirectories/comments/pp71gr", "2021-09-16 Daily post")</f>
        <v>2021-09-16 Daily post</v>
      </c>
      <c r="D2" t="s">
        <v>7</v>
      </c>
    </row>
    <row r="3" spans="1:5" x14ac:dyDescent="0.2">
      <c r="A3" t="str">
        <f>HYPERLINK("http://www.huzheng.org", "http://www.huzheng.org")</f>
        <v>http://www.huzheng.org</v>
      </c>
      <c r="B3" t="s">
        <v>5</v>
      </c>
      <c r="C3" t="str">
        <f t="shared" si="0"/>
        <v>2021-09-16 Daily post</v>
      </c>
      <c r="D3" t="s">
        <v>7</v>
      </c>
    </row>
    <row r="4" spans="1:5" x14ac:dyDescent="0.2">
      <c r="A4" t="str">
        <f>HYPERLINK("http://markburgess.org/music", "http://markburgess.org/music")</f>
        <v>http://markburgess.org/music</v>
      </c>
      <c r="B4" t="s">
        <v>5</v>
      </c>
      <c r="C4" t="str">
        <f t="shared" si="0"/>
        <v>2021-09-16 Daily post</v>
      </c>
      <c r="D4" t="s">
        <v>7</v>
      </c>
    </row>
    <row r="5" spans="1:5" x14ac:dyDescent="0.2">
      <c r="A5" t="str">
        <f>HYPERLINK("https://www.backtracking-music.de/uranus", "https://www.backtracking-music.de/uranus")</f>
        <v>https://www.backtracking-music.de/uranus</v>
      </c>
      <c r="B5" t="s">
        <v>5</v>
      </c>
      <c r="C5" t="str">
        <f t="shared" si="0"/>
        <v>2021-09-16 Daily post</v>
      </c>
      <c r="D5" t="s">
        <v>7</v>
      </c>
    </row>
    <row r="6" spans="1:5" x14ac:dyDescent="0.2">
      <c r="A6" t="str">
        <f>HYPERLINK("https://musicinsideout.wwno.org/audio", "https://musicinsideout.wwno.org/audio")</f>
        <v>https://musicinsideout.wwno.org/audio</v>
      </c>
      <c r="B6" t="s">
        <v>5</v>
      </c>
      <c r="C6" t="str">
        <f t="shared" si="0"/>
        <v>2021-09-16 Daily post</v>
      </c>
      <c r="D6" t="s">
        <v>7</v>
      </c>
    </row>
    <row r="7" spans="1:5" x14ac:dyDescent="0.2">
      <c r="A7" t="str">
        <f>HYPERLINK("https://music.maxton.xyz/tracks", "https://music.maxton.xyz/tracks")</f>
        <v>https://music.maxton.xyz/tracks</v>
      </c>
      <c r="B7" t="s">
        <v>5</v>
      </c>
      <c r="C7" t="str">
        <f t="shared" si="0"/>
        <v>2021-09-16 Daily post</v>
      </c>
      <c r="D7" t="s">
        <v>7</v>
      </c>
    </row>
    <row r="8" spans="1:5" x14ac:dyDescent="0.2">
      <c r="A8" t="str">
        <f>HYPERLINK("http://scipp.ucsc.edu/~profumo/misc", "http://scipp.ucsc.edu/~profumo/misc")</f>
        <v>http://scipp.ucsc.edu/~profumo/misc</v>
      </c>
      <c r="B8" t="s">
        <v>5</v>
      </c>
      <c r="C8" t="str">
        <f t="shared" si="0"/>
        <v>2021-09-16 Daily post</v>
      </c>
      <c r="D8" t="s">
        <v>7</v>
      </c>
    </row>
    <row r="9" spans="1:5" x14ac:dyDescent="0.2">
      <c r="A9" t="str">
        <f>HYPERLINK("https://people.duke.edu/~ajk17", "https://people.duke.edu/~ajk17")</f>
        <v>https://people.duke.edu/~ajk17</v>
      </c>
      <c r="B9" t="s">
        <v>5</v>
      </c>
      <c r="C9" t="str">
        <f t="shared" si="0"/>
        <v>2021-09-16 Daily post</v>
      </c>
      <c r="D9" t="s">
        <v>7</v>
      </c>
    </row>
    <row r="10" spans="1:5" x14ac:dyDescent="0.2">
      <c r="A10" t="str">
        <f>HYPERLINK("http://socialdance.stanford.edu/music", "http://socialdance.stanford.edu/music")</f>
        <v>http://socialdance.stanford.edu/music</v>
      </c>
      <c r="B10" t="s">
        <v>5</v>
      </c>
      <c r="C10" t="str">
        <f t="shared" si="0"/>
        <v>2021-09-16 Daily post</v>
      </c>
      <c r="D10" t="s">
        <v>7</v>
      </c>
    </row>
    <row r="11" spans="1:5" x14ac:dyDescent="0.2">
      <c r="A11" t="str">
        <f>HYPERLINK("http://djentle.aether.feralhosting.com/norm", "http://djentle.aether.feralhosting.com/norm")</f>
        <v>http://djentle.aether.feralhosting.com/norm</v>
      </c>
      <c r="B11" t="s">
        <v>5</v>
      </c>
      <c r="C11" t="str">
        <f>HYPERLINK("https://www.reddit.com/r/opendirectories/comments/podke6", "Entire Norm Macdonald Live video podcast (2013-2018)")</f>
        <v>Entire Norm Macdonald Live video podcast (2013-2018)</v>
      </c>
      <c r="D11" t="s">
        <v>260</v>
      </c>
    </row>
    <row r="12" spans="1:5" x14ac:dyDescent="0.2">
      <c r="A12" t="str">
        <f>HYPERLINK("http://wateryaml.cn", "http://wateryaml.cn")</f>
        <v>http://wateryaml.cn</v>
      </c>
      <c r="B12" t="s">
        <v>5</v>
      </c>
      <c r="C12" t="str">
        <f t="shared" ref="C12:C18" si="1">HYPERLINK("https://www.reddit.com/r/opendirectories/comments/plkcmr", "2021-09-10 Daily post")</f>
        <v>2021-09-10 Daily post</v>
      </c>
      <c r="D12" t="s">
        <v>261</v>
      </c>
      <c r="E12" t="s">
        <v>61</v>
      </c>
    </row>
    <row r="13" spans="1:5" x14ac:dyDescent="0.2">
      <c r="A13" t="str">
        <f>HYPERLINK("https://rohandrape.net/rd", "https://rohandrape.net/rd")</f>
        <v>https://rohandrape.net/rd</v>
      </c>
      <c r="B13" t="s">
        <v>5</v>
      </c>
      <c r="C13" t="str">
        <f t="shared" si="1"/>
        <v>2021-09-10 Daily post</v>
      </c>
      <c r="D13" t="s">
        <v>261</v>
      </c>
      <c r="E13" t="s">
        <v>61</v>
      </c>
    </row>
    <row r="14" spans="1:5" x14ac:dyDescent="0.2">
      <c r="A14" t="str">
        <f>HYPERLINK("https://www.cs.cmu.edu/~lblum/flac/Handouts_pdf", "https://www.cs.cmu.edu/~lblum/flac/Handouts_pdf")</f>
        <v>https://www.cs.cmu.edu/~lblum/flac/Handouts_pdf</v>
      </c>
      <c r="B14" t="s">
        <v>5</v>
      </c>
      <c r="C14" t="str">
        <f t="shared" si="1"/>
        <v>2021-09-10 Daily post</v>
      </c>
      <c r="D14" t="s">
        <v>261</v>
      </c>
      <c r="E14" t="s">
        <v>61</v>
      </c>
    </row>
    <row r="15" spans="1:5" x14ac:dyDescent="0.2">
      <c r="A15" t="str">
        <f>HYPERLINK("http://www.lindberg.no/hires", "http://www.lindberg.no/hires")</f>
        <v>http://www.lindberg.no/hires</v>
      </c>
      <c r="B15" t="s">
        <v>5</v>
      </c>
      <c r="C15" t="str">
        <f t="shared" si="1"/>
        <v>2021-09-10 Daily post</v>
      </c>
      <c r="D15" t="s">
        <v>261</v>
      </c>
      <c r="E15" t="s">
        <v>61</v>
      </c>
    </row>
    <row r="16" spans="1:5" x14ac:dyDescent="0.2">
      <c r="A16" t="str">
        <f>HYPERLINK("https://samples.ffmpeg.org", "https://samples.ffmpeg.org")</f>
        <v>https://samples.ffmpeg.org</v>
      </c>
      <c r="B16" t="s">
        <v>5</v>
      </c>
      <c r="C16" t="str">
        <f t="shared" si="1"/>
        <v>2021-09-10 Daily post</v>
      </c>
      <c r="D16" t="s">
        <v>261</v>
      </c>
      <c r="E16" t="s">
        <v>61</v>
      </c>
    </row>
    <row r="17" spans="1:5" x14ac:dyDescent="0.2">
      <c r="A17" t="str">
        <f>HYPERLINK("https://files.valhallagameplays.info", "https://files.valhallagameplays.info")</f>
        <v>https://files.valhallagameplays.info</v>
      </c>
      <c r="B17" t="s">
        <v>5</v>
      </c>
      <c r="C17" t="str">
        <f t="shared" si="1"/>
        <v>2021-09-10 Daily post</v>
      </c>
      <c r="D17" t="s">
        <v>261</v>
      </c>
      <c r="E17" t="s">
        <v>61</v>
      </c>
    </row>
    <row r="18" spans="1:5" x14ac:dyDescent="0.2">
      <c r="A18" t="str">
        <f>HYPERLINK("https://www.nlnetlabs.nl/downloads", "https://www.nlnetlabs.nl/downloads")</f>
        <v>https://www.nlnetlabs.nl/downloads</v>
      </c>
      <c r="B18" t="s">
        <v>5</v>
      </c>
      <c r="C18" t="str">
        <f t="shared" si="1"/>
        <v>2021-09-10 Daily post</v>
      </c>
      <c r="D18" t="s">
        <v>261</v>
      </c>
      <c r="E18" t="s">
        <v>61</v>
      </c>
    </row>
    <row r="19" spans="1:5" x14ac:dyDescent="0.2">
      <c r="A19" t="str">
        <f>HYPERLINK("https://hakase.lilprincess.xyz/storage", "https://hakase.lilprincess.xyz/storage")</f>
        <v>https://hakase.lilprincess.xyz/storage</v>
      </c>
      <c r="B19" t="s">
        <v>5</v>
      </c>
      <c r="C19" t="str">
        <f>HYPERLINK("https://www.reddit.com/r/opendirectories/comments/owjba3", "[NSFW] Music Videos, Music, TV Shows, Android Apps, OnlyFans Rips")</f>
        <v>[NSFW] Music Videos, Music, TV Shows, Android Apps, OnlyFans Rips</v>
      </c>
      <c r="D19" t="s">
        <v>18</v>
      </c>
    </row>
    <row r="20" spans="1:5" x14ac:dyDescent="0.2">
      <c r="A20" t="str">
        <f>HYPERLINK("http://fina.dyndns.tv", "http://fina.dyndns.tv")</f>
        <v>http://fina.dyndns.tv</v>
      </c>
      <c r="B20" t="s">
        <v>5</v>
      </c>
      <c r="C20" t="str">
        <f>HYPERLINK("https://www.reddit.com/r/opendirectories/comments/gsl3t5", "Few Series")</f>
        <v>Few Series</v>
      </c>
      <c r="D20" t="s">
        <v>262</v>
      </c>
      <c r="E20" t="s">
        <v>263</v>
      </c>
    </row>
    <row r="21" spans="1:5" x14ac:dyDescent="0.2">
      <c r="A21" t="str">
        <f>HYPERLINK("http://dl.iranzirnevis.com/Series", "http://dl.iranzirnevis.com/Series")</f>
        <v>http://dl.iranzirnevis.com/Series</v>
      </c>
      <c r="B21" t="s">
        <v>5</v>
      </c>
      <c r="C21" t="str">
        <f>HYPERLINK("https://www.reddit.com/r/opendirectories/comments/owj4bh", "Subtitles for TV Shows")</f>
        <v>Subtitles for TV Shows</v>
      </c>
      <c r="D21" t="s">
        <v>18</v>
      </c>
    </row>
    <row r="22" spans="1:5" x14ac:dyDescent="0.2">
      <c r="A22" t="str">
        <f>HYPERLINK("https://files.cbps.xyz", "https://files.cbps.xyz")</f>
        <v>https://files.cbps.xyz</v>
      </c>
      <c r="B22" t="s">
        <v>5</v>
      </c>
      <c r="C22" t="str">
        <f>HYPERLINK("https://www.reddit.com/r/opendirectories/comments/outx0s", "ISOs, ROMs, Anime, Clickbait Videos, IPod tools")</f>
        <v>ISOs, ROMs, Anime, Clickbait Videos, IPod tools</v>
      </c>
      <c r="D22" t="s">
        <v>19</v>
      </c>
    </row>
    <row r="23" spans="1:5" x14ac:dyDescent="0.2">
      <c r="A23" t="str">
        <f>HYPERLINK("http://physics.sharif.edu/~physics_lab3/movie", "http://physics.sharif.edu/~physics_lab3/movie")</f>
        <v>http://physics.sharif.edu/~physics_lab3/movie</v>
      </c>
      <c r="B23" t="s">
        <v>5</v>
      </c>
      <c r="C23" t="str">
        <f>HYPERLINK("https://www.reddit.com/r/opendirectories/comments/otfq50", "Videos on Physics")</f>
        <v>Videos on Physics</v>
      </c>
      <c r="D23" t="s">
        <v>21</v>
      </c>
    </row>
    <row r="24" spans="1:5" x14ac:dyDescent="0.2">
      <c r="A24" t="str">
        <f>HYPERLINK("http://ftp.1tvch.ru", "http://ftp.1tvch.ru")</f>
        <v>http://ftp.1tvch.ru</v>
      </c>
      <c r="B24" t="s">
        <v>5</v>
      </c>
      <c r="C24" t="str">
        <f>HYPERLINK("https://www.reddit.com/r/opendirectories/comments/ojhdrt", "an index of Kazakhstani(?) TV channels and shows")</f>
        <v>an index of Kazakhstani(?) TV channels and shows</v>
      </c>
      <c r="D24" t="s">
        <v>264</v>
      </c>
    </row>
    <row r="25" spans="1:5" x14ac:dyDescent="0.2">
      <c r="A25" t="str">
        <f>HYPERLINK("https://tartarus.feralhosting.com/firepig", "https://tartarus.feralhosting.com/firepig")</f>
        <v>https://tartarus.feralhosting.com/firepig</v>
      </c>
      <c r="B25" t="s">
        <v>5</v>
      </c>
      <c r="D25" t="s">
        <v>265</v>
      </c>
    </row>
    <row r="26" spans="1:5" x14ac:dyDescent="0.2">
      <c r="A26" t="str">
        <f>HYPERLINK("http://173.249.45.226", "http://173.249.45.226")</f>
        <v>http://173.249.45.226</v>
      </c>
      <c r="B26" t="s">
        <v>5</v>
      </c>
      <c r="C26" t="str">
        <f>HYPERLINK("https://www.reddit.com/r/opendirectories/comments/jsa626", "JAV Galore, Hentai, Amat, ...")</f>
        <v>JAV Galore, Hentai, Amat, ...</v>
      </c>
      <c r="D26" t="s">
        <v>266</v>
      </c>
    </row>
    <row r="27" spans="1:5" x14ac:dyDescent="0.2">
      <c r="A27" t="str">
        <f>HYPERLINK("http://master255.org", "http://master255.org")</f>
        <v>http://master255.org</v>
      </c>
      <c r="B27" t="s">
        <v>5</v>
      </c>
      <c r="C27" t="str">
        <f>HYPERLINK("https://www.reddit.com/r/opendirectories/comments/o7uvcv", "Collection of video games")</f>
        <v>Collection of video games</v>
      </c>
      <c r="D27" t="s">
        <v>267</v>
      </c>
    </row>
    <row r="28" spans="1:5" x14ac:dyDescent="0.2">
      <c r="A28" t="str">
        <f>HYPERLINK("http://135.181.113.216:9000", "http://135.181.113.216:9000")</f>
        <v>http://135.181.113.216:9000</v>
      </c>
      <c r="B28" t="s">
        <v>5</v>
      </c>
      <c r="C28" t="str">
        <f>HYPERLINK("https://www.reddit.com/r/opendirectories/comments/o5n7qj", "Movies, tvshows, music, anime and ebooks")</f>
        <v>Movies, tvshows, music, anime and ebooks</v>
      </c>
      <c r="D28" t="s">
        <v>268</v>
      </c>
      <c r="E28" t="s">
        <v>14</v>
      </c>
    </row>
    <row r="29" spans="1:5" x14ac:dyDescent="0.2">
      <c r="A29" t="str">
        <f>HYPERLINK("http://80s.lt/Files", "http://80s.lt/Files")</f>
        <v>http://80s.lt/Files</v>
      </c>
      <c r="B29" t="s">
        <v>5</v>
      </c>
      <c r="C29" t="str">
        <f>HYPERLINK("https://www.reddit.com/r/opendirectories/comments/o3cz74", "Music videos")</f>
        <v>Music videos</v>
      </c>
      <c r="D29" t="s">
        <v>25</v>
      </c>
    </row>
    <row r="30" spans="1:5" x14ac:dyDescent="0.2">
      <c r="A30" t="str">
        <f>HYPERLINK("http://213.32.1.25", "http://213.32.1.25")</f>
        <v>http://213.32.1.25</v>
      </c>
      <c r="B30" t="s">
        <v>5</v>
      </c>
      <c r="C30" t="str">
        <f>HYPERLINK("https://www.reddit.com/r/opendirectories/comments/nsh9j0", "Media")</f>
        <v>Media</v>
      </c>
      <c r="D30" t="s">
        <v>269</v>
      </c>
    </row>
    <row r="31" spans="1:5" x14ac:dyDescent="0.2">
      <c r="A31" t="str">
        <f>HYPERLINK("http://dl2.doostihaa.net/Animation", "http://dl2.doostihaa.net/Animation")</f>
        <v>http://dl2.doostihaa.net/Animation</v>
      </c>
      <c r="B31" t="s">
        <v>5</v>
      </c>
      <c r="C31" t="str">
        <f t="shared" ref="C31:C39" si="2">HYPERLINK("https://www.reddit.com/r/opendirectories/comments/nsa8yg", "A mixed bag of asian Animes/Mangas ... and some movies, essentially in [JAP][KOR] and maybe some [ENG] subs.")</f>
        <v>A mixed bag of asian Animes/Mangas ... and some movies, essentially in [JAP][KOR] and maybe some [ENG] subs.</v>
      </c>
      <c r="D31" t="s">
        <v>270</v>
      </c>
      <c r="E31" t="s">
        <v>14</v>
      </c>
    </row>
    <row r="32" spans="1:5" x14ac:dyDescent="0.2">
      <c r="A32" t="str">
        <f>HYPERLINK("https://208.113.165.59", "https://208.113.165.59")</f>
        <v>https://208.113.165.59</v>
      </c>
      <c r="B32" t="s">
        <v>5</v>
      </c>
      <c r="C32" t="str">
        <f t="shared" si="2"/>
        <v>A mixed bag of asian Animes/Mangas ... and some movies, essentially in [JAP][KOR] and maybe some [ENG] subs.</v>
      </c>
      <c r="D32" t="s">
        <v>270</v>
      </c>
      <c r="E32" t="s">
        <v>14</v>
      </c>
    </row>
    <row r="33" spans="1:5" x14ac:dyDescent="0.2">
      <c r="A33" t="str">
        <f>HYPERLINK("http://176.36.86.211", "http://176.36.86.211")</f>
        <v>http://176.36.86.211</v>
      </c>
      <c r="B33" t="s">
        <v>5</v>
      </c>
      <c r="C33" t="str">
        <f t="shared" si="2"/>
        <v>A mixed bag of asian Animes/Mangas ... and some movies, essentially in [JAP][KOR] and maybe some [ENG] subs.</v>
      </c>
      <c r="D33" t="s">
        <v>270</v>
      </c>
      <c r="E33" t="s">
        <v>14</v>
      </c>
    </row>
    <row r="34" spans="1:5" x14ac:dyDescent="0.2">
      <c r="A34" t="str">
        <f>HYPERLINK("https://166.84.7.155", "https://166.84.7.155")</f>
        <v>https://166.84.7.155</v>
      </c>
      <c r="B34" t="s">
        <v>5</v>
      </c>
      <c r="C34" t="str">
        <f t="shared" si="2"/>
        <v>A mixed bag of asian Animes/Mangas ... and some movies, essentially in [JAP][KOR] and maybe some [ENG] subs.</v>
      </c>
      <c r="D34" t="s">
        <v>270</v>
      </c>
      <c r="E34" t="s">
        <v>14</v>
      </c>
    </row>
    <row r="35" spans="1:5" x14ac:dyDescent="0.2">
      <c r="A35" t="str">
        <f>HYPERLINK("http://ns3309227.ip-178-32-222.eu", "http://ns3309227.ip-178-32-222.eu")</f>
        <v>http://ns3309227.ip-178-32-222.eu</v>
      </c>
      <c r="B35" t="s">
        <v>5</v>
      </c>
      <c r="C35" t="str">
        <f t="shared" si="2"/>
        <v>A mixed bag of asian Animes/Mangas ... and some movies, essentially in [JAP][KOR] and maybe some [ENG] subs.</v>
      </c>
      <c r="D35" t="s">
        <v>270</v>
      </c>
      <c r="E35" t="s">
        <v>14</v>
      </c>
    </row>
    <row r="36" spans="1:5" x14ac:dyDescent="0.2">
      <c r="A36" t="str">
        <f>HYPERLINK("https://73.50.3.208", "https://73.50.3.208")</f>
        <v>https://73.50.3.208</v>
      </c>
      <c r="B36" t="s">
        <v>5</v>
      </c>
      <c r="C36" t="str">
        <f t="shared" si="2"/>
        <v>A mixed bag of asian Animes/Mangas ... and some movies, essentially in [JAP][KOR] and maybe some [ENG] subs.</v>
      </c>
      <c r="D36" t="s">
        <v>270</v>
      </c>
      <c r="E36" t="s">
        <v>14</v>
      </c>
    </row>
    <row r="37" spans="1:5" x14ac:dyDescent="0.2">
      <c r="A37" t="str">
        <f>HYPERLINK("http://zdlo.oni2.net", "http://zdlo.oni2.net")</f>
        <v>http://zdlo.oni2.net</v>
      </c>
      <c r="B37" t="s">
        <v>5</v>
      </c>
      <c r="C37" t="str">
        <f t="shared" si="2"/>
        <v>A mixed bag of asian Animes/Mangas ... and some movies, essentially in [JAP][KOR] and maybe some [ENG] subs.</v>
      </c>
      <c r="D37" t="s">
        <v>270</v>
      </c>
      <c r="E37" t="s">
        <v>14</v>
      </c>
    </row>
    <row r="38" spans="1:5" x14ac:dyDescent="0.2">
      <c r="A38" t="str">
        <f>HYPERLINK("https://192.99.0.65", "https://192.99.0.65")</f>
        <v>https://192.99.0.65</v>
      </c>
      <c r="B38" t="s">
        <v>5</v>
      </c>
      <c r="C38" t="str">
        <f t="shared" si="2"/>
        <v>A mixed bag of asian Animes/Mangas ... and some movies, essentially in [JAP][KOR] and maybe some [ENG] subs.</v>
      </c>
      <c r="D38" t="s">
        <v>270</v>
      </c>
      <c r="E38" t="s">
        <v>14</v>
      </c>
    </row>
    <row r="39" spans="1:5" x14ac:dyDescent="0.2">
      <c r="A39" t="str">
        <f>HYPERLINK("http://221.157.97.238", "http://221.157.97.238")</f>
        <v>http://221.157.97.238</v>
      </c>
      <c r="B39" t="s">
        <v>5</v>
      </c>
      <c r="C39" t="str">
        <f t="shared" si="2"/>
        <v>A mixed bag of asian Animes/Mangas ... and some movies, essentially in [JAP][KOR] and maybe some [ENG] subs.</v>
      </c>
      <c r="D39" t="s">
        <v>270</v>
      </c>
      <c r="E39" t="s">
        <v>14</v>
      </c>
    </row>
    <row r="40" spans="1:5" x14ac:dyDescent="0.2">
      <c r="A40" t="str">
        <f>HYPERLINK("https://www.wells.gov.uk/uploads/documents", "https://www.wells.gov.uk/uploads/documents")</f>
        <v>https://www.wells.gov.uk/uploads/documents</v>
      </c>
      <c r="B40" t="s">
        <v>5</v>
      </c>
      <c r="C40" t="str">
        <f>HYPERLINK("https://www.reddit.com/r/opendirectories/comments/nqt7aw", "XXX")</f>
        <v>XXX</v>
      </c>
      <c r="D40" t="s">
        <v>28</v>
      </c>
    </row>
    <row r="41" spans="1:5" x14ac:dyDescent="0.2">
      <c r="A41" t="str">
        <f>HYPERLINK("https://student.cs.uwaterloo.ca/~cs247/current", "https://student.cs.uwaterloo.ca/~cs247/current")</f>
        <v>https://student.cs.uwaterloo.ca/~cs247/current</v>
      </c>
      <c r="B41" t="s">
        <v>5</v>
      </c>
      <c r="C41" t="str">
        <f>HYPERLINK("https://www.reddit.com/r/opendirectories/comments/nqprtq", "Recent software design lecture videos")</f>
        <v>Recent software design lecture videos</v>
      </c>
      <c r="D41" t="s">
        <v>28</v>
      </c>
    </row>
    <row r="42" spans="1:5" x14ac:dyDescent="0.2">
      <c r="A42" t="str">
        <f>HYPERLINK("http://tubeuploads.bang.com", "http://tubeuploads.bang.com")</f>
        <v>http://tubeuploads.bang.com</v>
      </c>
      <c r="B42" t="s">
        <v>5</v>
      </c>
      <c r="C42" t="str">
        <f>HYPERLINK("https://www.reddit.com/r/opendirectories/comments/noand3", "NSFW many Compilations 1G ish each")</f>
        <v>NSFW many Compilations 1G ish each</v>
      </c>
      <c r="D42" t="s">
        <v>271</v>
      </c>
    </row>
    <row r="43" spans="1:5" x14ac:dyDescent="0.2">
      <c r="A43" t="str">
        <f>HYPERLINK("http://salepute.fr", "http://salepute.fr")</f>
        <v>http://salepute.fr</v>
      </c>
      <c r="B43" t="s">
        <v>5</v>
      </c>
      <c r="C43" t="str">
        <f>HYPERLINK("https://www.reddit.com/r/opendirectories/comments/hpeikt", "NSFW Funnies, I don't know how to describe this")</f>
        <v>NSFW Funnies, I don't know how to describe this</v>
      </c>
      <c r="D43" t="s">
        <v>272</v>
      </c>
    </row>
    <row r="44" spans="1:5" x14ac:dyDescent="0.2">
      <c r="A44" t="str">
        <f>HYPERLINK("http://51.15.178.223", "http://51.15.178.223")</f>
        <v>http://51.15.178.223</v>
      </c>
      <c r="B44" t="s">
        <v>5</v>
      </c>
      <c r="C44" t="str">
        <f>HYPERLINK("https://www.reddit.com/r/opendirectories/comments/bx2qjh", "[FR/EN] Movies / TV Shows / Softwares / Music / Misc")</f>
        <v>[FR/EN] Movies / TV Shows / Softwares / Music / Misc</v>
      </c>
      <c r="D44" t="s">
        <v>273</v>
      </c>
      <c r="E44" t="s">
        <v>51</v>
      </c>
    </row>
    <row r="45" spans="1:5" x14ac:dyDescent="0.2">
      <c r="A45" t="str">
        <f>HYPERLINK("http://archives.1wise.es", "http://archives.1wise.es")</f>
        <v>http://archives.1wise.es</v>
      </c>
      <c r="B45" t="s">
        <v>5</v>
      </c>
      <c r="C45" t="str">
        <f>HYPERLINK("https://www.reddit.com/r/opendirectories/comments/mks6a3", "Some web wonderings I did today")</f>
        <v>Some web wonderings I did today</v>
      </c>
      <c r="D45" t="s">
        <v>274</v>
      </c>
    </row>
    <row r="46" spans="1:5" x14ac:dyDescent="0.2">
      <c r="A46" t="str">
        <f>HYPERLINK("http://69.164.208.4/files", "http://69.164.208.4/files")</f>
        <v>http://69.164.208.4/files</v>
      </c>
      <c r="B46" t="s">
        <v>5</v>
      </c>
      <c r="C46" t="str">
        <f>HYPERLINK("https://www.reddit.com/r/opendirectories/comments/mks6a3", "Some web wonderings I did today")</f>
        <v>Some web wonderings I did today</v>
      </c>
      <c r="D46" t="s">
        <v>274</v>
      </c>
    </row>
    <row r="47" spans="1:5" x14ac:dyDescent="0.2">
      <c r="A47" t="str">
        <f>HYPERLINK("http://pauladaunt.com/books", "http://pauladaunt.com/books")</f>
        <v>http://pauladaunt.com/books</v>
      </c>
      <c r="B47" t="s">
        <v>5</v>
      </c>
      <c r="C47" t="str">
        <f>HYPERLINK("https://www.reddit.com/r/opendirectories/comments/3dn84u", "Random Books (.txt and .pdf)")</f>
        <v>Random Books (.txt and .pdf)</v>
      </c>
      <c r="D47" t="s">
        <v>275</v>
      </c>
    </row>
    <row r="48" spans="1:5" x14ac:dyDescent="0.2">
      <c r="A48" t="str">
        <f>HYPERLINK("http://www.chiark.greenend.org.uk", "http://www.chiark.greenend.org.uk")</f>
        <v>http://www.chiark.greenend.org.uk</v>
      </c>
      <c r="B48" t="s">
        <v>5</v>
      </c>
      <c r="C48" t="str">
        <f t="shared" ref="C48:C55" si="3">HYPERLINK("https://www.reddit.com/r/opendirectories/comments/mks6a3", "Some web wonderings I did today")</f>
        <v>Some web wonderings I did today</v>
      </c>
      <c r="D48" t="s">
        <v>274</v>
      </c>
    </row>
    <row r="49" spans="1:5" x14ac:dyDescent="0.2">
      <c r="A49" t="str">
        <f>HYPERLINK("http://www.st-marks.kent.sch.uk/wp-content/uploads", "http://www.st-marks.kent.sch.uk/wp-content/uploads")</f>
        <v>http://www.st-marks.kent.sch.uk/wp-content/uploads</v>
      </c>
      <c r="B49" t="s">
        <v>5</v>
      </c>
      <c r="C49" t="str">
        <f t="shared" si="3"/>
        <v>Some web wonderings I did today</v>
      </c>
      <c r="D49" t="s">
        <v>274</v>
      </c>
    </row>
    <row r="50" spans="1:5" x14ac:dyDescent="0.2">
      <c r="A50" t="str">
        <f>HYPERLINK("http://www.blackkat.net/tintin", "http://www.blackkat.net/tintin")</f>
        <v>http://www.blackkat.net/tintin</v>
      </c>
      <c r="B50" t="s">
        <v>5</v>
      </c>
      <c r="C50" t="str">
        <f t="shared" si="3"/>
        <v>Some web wonderings I did today</v>
      </c>
      <c r="D50" t="s">
        <v>274</v>
      </c>
    </row>
    <row r="51" spans="1:5" x14ac:dyDescent="0.2">
      <c r="A51" t="str">
        <f>HYPERLINK("https://eref.se", "https://eref.se")</f>
        <v>https://eref.se</v>
      </c>
      <c r="B51" t="s">
        <v>5</v>
      </c>
      <c r="C51" t="str">
        <f t="shared" si="3"/>
        <v>Some web wonderings I did today</v>
      </c>
      <c r="D51" t="s">
        <v>274</v>
      </c>
    </row>
    <row r="52" spans="1:5" x14ac:dyDescent="0.2">
      <c r="A52" t="str">
        <f>HYPERLINK("http://154.68.126.6/library", "http://154.68.126.6/library")</f>
        <v>http://154.68.126.6/library</v>
      </c>
      <c r="B52" t="s">
        <v>5</v>
      </c>
      <c r="C52" t="str">
        <f t="shared" si="3"/>
        <v>Some web wonderings I did today</v>
      </c>
      <c r="D52" t="s">
        <v>274</v>
      </c>
    </row>
    <row r="53" spans="1:5" x14ac:dyDescent="0.2">
      <c r="A53" t="str">
        <f>HYPERLINK("http://home.iowaandersons.com", "http://home.iowaandersons.com")</f>
        <v>http://home.iowaandersons.com</v>
      </c>
      <c r="B53" t="s">
        <v>5</v>
      </c>
      <c r="C53" t="str">
        <f t="shared" si="3"/>
        <v>Some web wonderings I did today</v>
      </c>
      <c r="D53" t="s">
        <v>274</v>
      </c>
    </row>
    <row r="54" spans="1:5" x14ac:dyDescent="0.2">
      <c r="A54" t="str">
        <f>HYPERLINK("https://gennuso.iiens.net/lectures/Le%20livre%20d%27or%20de%20la%20SF", "https://gennuso.iiens.net/lectures/Le%20livre%20d%27or%20de%20la%20SF")</f>
        <v>https://gennuso.iiens.net/lectures/Le%20livre%20d%27or%20de%20la%20SF</v>
      </c>
      <c r="B54" t="s">
        <v>5</v>
      </c>
      <c r="C54" t="str">
        <f t="shared" si="3"/>
        <v>Some web wonderings I did today</v>
      </c>
      <c r="D54" t="s">
        <v>274</v>
      </c>
    </row>
    <row r="55" spans="1:5" x14ac:dyDescent="0.2">
      <c r="A55" t="str">
        <f>HYPERLINK("http://www.indiepornrevolution.com/indie-porn/wp-content/uploads", "http://www.indiepornrevolution.com/indie-porn/wp-content/uploads")</f>
        <v>http://www.indiepornrevolution.com/indie-porn/wp-content/uploads</v>
      </c>
      <c r="B55" t="s">
        <v>5</v>
      </c>
      <c r="C55" t="str">
        <f t="shared" si="3"/>
        <v>Some web wonderings I did today</v>
      </c>
      <c r="D55" t="s">
        <v>274</v>
      </c>
    </row>
    <row r="56" spans="1:5" x14ac:dyDescent="0.2">
      <c r="A56" t="str">
        <f>HYPERLINK("http://www.b2wblog.com/wp-content/uploads", "http://www.b2wblog.com/wp-content/uploads")</f>
        <v>http://www.b2wblog.com/wp-content/uploads</v>
      </c>
      <c r="B56" t="s">
        <v>5</v>
      </c>
      <c r="C56" t="str">
        <f>HYPERLINK("https://www.reddit.com/r/opendirectories/comments/mjfq15", "This is Totally... NSFW...")</f>
        <v>This is Totally... NSFW...</v>
      </c>
      <c r="D56" t="s">
        <v>38</v>
      </c>
    </row>
    <row r="57" spans="1:5" x14ac:dyDescent="0.2">
      <c r="A57" t="str">
        <f>HYPERLINK("https://naijauncut.com/wp-content/uploads", "https://naijauncut.com/wp-content/uploads")</f>
        <v>https://naijauncut.com/wp-content/uploads</v>
      </c>
      <c r="B57" t="s">
        <v>5</v>
      </c>
      <c r="C57" t="str">
        <f>HYPERLINK("https://www.reddit.com/r/opendirectories/comments/mhvite", "Lots Of Vids &amp;amp; Images")</f>
        <v>Lots Of Vids &amp;amp; Images</v>
      </c>
      <c r="D57" t="s">
        <v>40</v>
      </c>
    </row>
    <row r="58" spans="1:5" x14ac:dyDescent="0.2">
      <c r="A58" t="str">
        <f>HYPERLINK("http://www.factoryvideos.com", "http://www.factoryvideos.com")</f>
        <v>http://www.factoryvideos.com</v>
      </c>
      <c r="B58" t="s">
        <v>5</v>
      </c>
      <c r="C58" t="str">
        <f>HYPERLINK("https://www.reddit.com/r/opendirectories/comments/mhf16q", "Ok this one is for the Guys, Gals plus Non Binary's...")</f>
        <v>Ok this one is for the Guys, Gals plus Non Binary's...</v>
      </c>
      <c r="D58" t="s">
        <v>41</v>
      </c>
    </row>
    <row r="59" spans="1:5" x14ac:dyDescent="0.2">
      <c r="A59" t="str">
        <f>HYPERLINK("http://cotesex.com/woodman", "http://cotesex.com/woodman")</f>
        <v>http://cotesex.com/woodman</v>
      </c>
      <c r="B59" t="s">
        <v>5</v>
      </c>
      <c r="C59" t="str">
        <f>HYPERLINK("https://www.reddit.com/r/opendirectories/comments/mfvt8q", "Pics &amp;amp; Vids porn index.")</f>
        <v>Pics &amp;amp; Vids porn index.</v>
      </c>
      <c r="D59" t="s">
        <v>276</v>
      </c>
    </row>
    <row r="60" spans="1:5" x14ac:dyDescent="0.2">
      <c r="A60" t="str">
        <f>HYPERLINK("http://xxxxmagazine.tv/videos", "http://xxxxmagazine.tv/videos")</f>
        <v>http://xxxxmagazine.tv/videos</v>
      </c>
      <c r="B60" t="s">
        <v>5</v>
      </c>
      <c r="C60" t="str">
        <f>HYPERLINK("https://www.reddit.com/r/opendirectories/comments/83lhq3", "Art or erotism? Erotic art? Probably NSFW for the sensitive ones.")</f>
        <v>Art or erotism? Erotic art? Probably NSFW for the sensitive ones.</v>
      </c>
      <c r="D60" t="s">
        <v>277</v>
      </c>
    </row>
    <row r="61" spans="1:5" x14ac:dyDescent="0.2">
      <c r="A61" t="str">
        <f>HYPERLINK("http://www.voyeurbitches.com/files", "http://www.voyeurbitches.com/files")</f>
        <v>http://www.voyeurbitches.com/files</v>
      </c>
      <c r="B61" t="s">
        <v>5</v>
      </c>
      <c r="C61" t="str">
        <f>HYPERLINK("https://www.reddit.com/r/opendirectories/comments/m5tiqd", "voyeur...")</f>
        <v>voyeur...</v>
      </c>
      <c r="D61" t="s">
        <v>44</v>
      </c>
    </row>
    <row r="62" spans="1:5" x14ac:dyDescent="0.2">
      <c r="A62" t="str">
        <f>HYPERLINK("http://mas.adult-services.net/content/media_server_videos", "http://mas.adult-services.net/content/media_server_videos")</f>
        <v>http://mas.adult-services.net/content/media_server_videos</v>
      </c>
      <c r="B62" t="s">
        <v>5</v>
      </c>
      <c r="C62" t="str">
        <f>HYPERLINK("https://www.reddit.com/r/opendirectories/comments/m4vd7a", "Bigish Mix bag of xxx")</f>
        <v>Bigish Mix bag of xxx</v>
      </c>
      <c r="D62" t="s">
        <v>45</v>
      </c>
    </row>
    <row r="63" spans="1:5" x14ac:dyDescent="0.2">
      <c r="A63" t="str">
        <f>HYPERLINK("https://213.32.0.222", "https://213.32.0.222")</f>
        <v>https://213.32.0.222</v>
      </c>
      <c r="B63" t="s">
        <v>5</v>
      </c>
      <c r="C63" t="str">
        <f>HYPERLINK("https://www.reddit.com/r/opendirectories/comments/jthnfk", "A bunch of Japanese Animes in various languages (JAP, ENG, RUS, GER)")</f>
        <v>A bunch of Japanese Animes in various languages (JAP, ENG, RUS, GER)</v>
      </c>
      <c r="D63" t="s">
        <v>278</v>
      </c>
      <c r="E63" t="s">
        <v>279</v>
      </c>
    </row>
    <row r="64" spans="1:5" x14ac:dyDescent="0.2">
      <c r="A64" t="str">
        <f>HYPERLINK("http://vjloco.edge.netbroadcasting.tv", "http://vjloco.edge.netbroadcasting.tv")</f>
        <v>http://vjloco.edge.netbroadcasting.tv</v>
      </c>
      <c r="B64" t="s">
        <v>5</v>
      </c>
      <c r="C64" t="str">
        <f>HYPERLINK("https://www.reddit.com/r/opendirectories/comments/m4nfyz", "Very High Quality Music Videos")</f>
        <v>Very High Quality Music Videos</v>
      </c>
      <c r="D64" t="s">
        <v>45</v>
      </c>
    </row>
    <row r="65" spans="1:5" x14ac:dyDescent="0.2">
      <c r="A65" t="str">
        <f>HYPERLINK("http://www.brcctubes.com/movie_files", "http://www.brcctubes.com/movie_files")</f>
        <v>http://www.brcctubes.com/movie_files</v>
      </c>
      <c r="B65" t="s">
        <v>5</v>
      </c>
      <c r="C65" t="str">
        <f>HYPERLINK("https://www.reddit.com/r/opendirectories/comments/5vrir1", "and another NSFW video index")</f>
        <v>and another NSFW video index</v>
      </c>
      <c r="D65" t="s">
        <v>280</v>
      </c>
    </row>
    <row r="66" spans="1:5" x14ac:dyDescent="0.2">
      <c r="A66" t="str">
        <f>HYPERLINK("http://tomthefanboy.com", "http://tomthefanboy.com")</f>
        <v>http://tomthefanboy.com</v>
      </c>
      <c r="B66" t="s">
        <v>5</v>
      </c>
      <c r="C66" t="str">
        <f>HYPERLINK("https://www.reddit.com/r/opendirectories/comments/m4fq6y", "Backroom Casting Couch type Vids...")</f>
        <v>Backroom Casting Couch type Vids...</v>
      </c>
      <c r="D66" t="s">
        <v>281</v>
      </c>
    </row>
    <row r="67" spans="1:5" x14ac:dyDescent="0.2">
      <c r="A67" t="str">
        <f>HYPERLINK("http://gamerchicks.com/sexy-free-nude", "http://gamerchicks.com/sexy-free-nude")</f>
        <v>http://gamerchicks.com/sexy-free-nude</v>
      </c>
      <c r="B67" t="s">
        <v>5</v>
      </c>
      <c r="C67" t="str">
        <f>HYPERLINK("https://www.reddit.com/r/opendirectories/comments/m4d9fw", "Gamer Chicks...")</f>
        <v>Gamer Chicks...</v>
      </c>
      <c r="D67" t="s">
        <v>281</v>
      </c>
    </row>
    <row r="68" spans="1:5" x14ac:dyDescent="0.2">
      <c r="A68" t="str">
        <f>HYPERLINK("https://ocean.marcus.pw:8008", "https://ocean.marcus.pw:8008")</f>
        <v>https://ocean.marcus.pw:8008</v>
      </c>
      <c r="B68" t="s">
        <v>5</v>
      </c>
      <c r="C68" t="str">
        <f>HYPERLINK("https://www.reddit.com/r/opendirectories/comments/m3lmuf", "Asian xxx Stars")</f>
        <v>Asian xxx Stars</v>
      </c>
      <c r="D68" t="s">
        <v>282</v>
      </c>
    </row>
    <row r="69" spans="1:5" x14ac:dyDescent="0.2">
      <c r="A69" t="str">
        <f>HYPERLINK("http://playwap.mobi/dl/load", "http://playwap.mobi/dl/load")</f>
        <v>http://playwap.mobi/dl/load</v>
      </c>
      <c r="B69" t="s">
        <v>5</v>
      </c>
      <c r="C69" t="str">
        <f>HYPERLINK("https://www.reddit.com/r/opendirectories/comments/m3itag", "Music Directory..")</f>
        <v>Music Directory..</v>
      </c>
      <c r="D69" t="s">
        <v>282</v>
      </c>
    </row>
    <row r="70" spans="1:5" x14ac:dyDescent="0.2">
      <c r="A70" t="str">
        <f>HYPERLINK("http://www.pornocaps.com/Pcaps", "http://www.pornocaps.com/Pcaps")</f>
        <v>http://www.pornocaps.com/Pcaps</v>
      </c>
      <c r="B70" t="s">
        <v>5</v>
      </c>
      <c r="C70" t="str">
        <f>HYPERLINK("https://www.reddit.com/r/opendirectories/comments/m21als", "Hot Exhibitionists....")</f>
        <v>Hot Exhibitionists....</v>
      </c>
      <c r="D70" t="s">
        <v>283</v>
      </c>
    </row>
    <row r="71" spans="1:5" x14ac:dyDescent="0.2">
      <c r="A71" t="str">
        <f>HYPERLINK("http://www.okaybbs.com/vip/attachments/uploads", "http://www.okaybbs.com/vip/attachments/uploads")</f>
        <v>http://www.okaybbs.com/vip/attachments/uploads</v>
      </c>
      <c r="B71" t="s">
        <v>5</v>
      </c>
      <c r="C71" t="str">
        <f>HYPERLINK("https://www.reddit.com/r/opendirectories/comments/at4r5m", "ASIAN PORN STUFF")</f>
        <v>ASIAN PORN STUFF</v>
      </c>
      <c r="D71" t="s">
        <v>284</v>
      </c>
      <c r="E71" t="s">
        <v>63</v>
      </c>
    </row>
    <row r="72" spans="1:5" x14ac:dyDescent="0.2">
      <c r="A72" t="str">
        <f>HYPERLINK("http://75.86.91.167", "http://75.86.91.167")</f>
        <v>http://75.86.91.167</v>
      </c>
      <c r="B72" t="s">
        <v>5</v>
      </c>
      <c r="C72" t="str">
        <f>HYPERLINK("https://www.reddit.com/r/opendirectories/comments/lztfm8", "Just some mp3's")</f>
        <v>Just some mp3's</v>
      </c>
      <c r="D72" t="s">
        <v>285</v>
      </c>
    </row>
    <row r="73" spans="1:5" x14ac:dyDescent="0.2">
      <c r="A73" t="str">
        <f>HYPERLINK("http://190.2.150.22", "http://190.2.150.22")</f>
        <v>http://190.2.150.22</v>
      </c>
      <c r="B73" t="s">
        <v>5</v>
      </c>
      <c r="C73" t="str">
        <f>HYPERLINK("https://www.reddit.com/r/opendirectories/comments/lsupnf", "numbered, not titled .it + .en movies")</f>
        <v>numbered, not titled .it + .en movies</v>
      </c>
      <c r="D73" t="s">
        <v>286</v>
      </c>
    </row>
    <row r="74" spans="1:5" x14ac:dyDescent="0.2">
      <c r="A74" t="str">
        <f>HYPERLINK("http://163.172.219.142", "http://163.172.219.142")</f>
        <v>http://163.172.219.142</v>
      </c>
      <c r="B74" t="s">
        <v>5</v>
      </c>
      <c r="C74" t="str">
        <f>HYPERLINK("https://www.reddit.com/r/opendirectories/comments/lka43t", "ODs with Movies, Series, Animes ... subtitled/dubbed in European languages [GER][ITA][POL][HUN][CZE][BOS] ...")</f>
        <v>ODs with Movies, Series, Animes ... subtitled/dubbed in European languages [GER][ITA][POL][HUN][CZE][BOS] ...</v>
      </c>
      <c r="D74" t="s">
        <v>287</v>
      </c>
    </row>
    <row r="75" spans="1:5" x14ac:dyDescent="0.2">
      <c r="A75" t="str">
        <f>HYPERLINK("http://159.69.132.234", "http://159.69.132.234")</f>
        <v>http://159.69.132.234</v>
      </c>
      <c r="B75" t="s">
        <v>5</v>
      </c>
      <c r="C75" t="str">
        <f t="shared" ref="C75:C82" si="4">HYPERLINK("https://www.reddit.com/r/opendirectories/comments/lm56lp", "A bit of everything: vids, docs, fonts, podcasts... on various topics mainly in English")</f>
        <v>A bit of everything: vids, docs, fonts, podcasts... on various topics mainly in English</v>
      </c>
      <c r="D75" t="s">
        <v>288</v>
      </c>
      <c r="E75" t="s">
        <v>14</v>
      </c>
    </row>
    <row r="76" spans="1:5" x14ac:dyDescent="0.2">
      <c r="A76" t="str">
        <f>HYPERLINK("https://biorob2.epfl.ch/users/eckert", "https://biorob2.epfl.ch/users/eckert")</f>
        <v>https://biorob2.epfl.ch/users/eckert</v>
      </c>
      <c r="B76" t="s">
        <v>5</v>
      </c>
      <c r="C76" t="str">
        <f t="shared" si="4"/>
        <v>A bit of everything: vids, docs, fonts, podcasts... on various topics mainly in English</v>
      </c>
      <c r="D76" t="s">
        <v>288</v>
      </c>
      <c r="E76" t="s">
        <v>14</v>
      </c>
    </row>
    <row r="77" spans="1:5" x14ac:dyDescent="0.2">
      <c r="A77" t="str">
        <f>HYPERLINK("https://207.179.200.70", "https://207.179.200.70")</f>
        <v>https://207.179.200.70</v>
      </c>
      <c r="B77" t="s">
        <v>5</v>
      </c>
      <c r="C77" t="str">
        <f t="shared" si="4"/>
        <v>A bit of everything: vids, docs, fonts, podcasts... on various topics mainly in English</v>
      </c>
      <c r="D77" t="s">
        <v>288</v>
      </c>
      <c r="E77" t="s">
        <v>14</v>
      </c>
    </row>
    <row r="78" spans="1:5" x14ac:dyDescent="0.2">
      <c r="A78" t="str">
        <f>HYPERLINK("http://162.212.178.138:8080", "http://162.212.178.138:8080")</f>
        <v>http://162.212.178.138:8080</v>
      </c>
      <c r="B78" t="s">
        <v>5</v>
      </c>
      <c r="C78" t="str">
        <f t="shared" si="4"/>
        <v>A bit of everything: vids, docs, fonts, podcasts... on various topics mainly in English</v>
      </c>
      <c r="D78" t="s">
        <v>288</v>
      </c>
      <c r="E78" t="s">
        <v>14</v>
      </c>
    </row>
    <row r="79" spans="1:5" x14ac:dyDescent="0.2">
      <c r="A79" t="str">
        <f>HYPERLINK("https://213.138.109.86", "https://213.138.109.86")</f>
        <v>https://213.138.109.86</v>
      </c>
      <c r="B79" t="s">
        <v>5</v>
      </c>
      <c r="C79" t="str">
        <f t="shared" si="4"/>
        <v>A bit of everything: vids, docs, fonts, podcasts... on various topics mainly in English</v>
      </c>
      <c r="D79" t="s">
        <v>288</v>
      </c>
      <c r="E79" t="s">
        <v>14</v>
      </c>
    </row>
    <row r="80" spans="1:5" x14ac:dyDescent="0.2">
      <c r="A80" t="str">
        <f>HYPERLINK("http://tug.ctan.org", "http://tug.ctan.org")</f>
        <v>http://tug.ctan.org</v>
      </c>
      <c r="B80" t="s">
        <v>5</v>
      </c>
      <c r="C80" t="str">
        <f t="shared" si="4"/>
        <v>A bit of everything: vids, docs, fonts, podcasts... on various topics mainly in English</v>
      </c>
      <c r="D80" t="s">
        <v>288</v>
      </c>
      <c r="E80" t="s">
        <v>14</v>
      </c>
    </row>
    <row r="81" spans="1:5" x14ac:dyDescent="0.2">
      <c r="A81" t="str">
        <f>HYPERLINK("http://winnow.veeshanvault.org/files", "http://winnow.veeshanvault.org/files")</f>
        <v>http://winnow.veeshanvault.org/files</v>
      </c>
      <c r="B81" t="s">
        <v>5</v>
      </c>
      <c r="C81" t="str">
        <f t="shared" si="4"/>
        <v>A bit of everything: vids, docs, fonts, podcasts... on various topics mainly in English</v>
      </c>
      <c r="D81" t="s">
        <v>288</v>
      </c>
      <c r="E81" t="s">
        <v>14</v>
      </c>
    </row>
    <row r="82" spans="1:5" x14ac:dyDescent="0.2">
      <c r="A82" t="str">
        <f>HYPERLINK("http://80.28.130.18:8081", "http://80.28.130.18:8081")</f>
        <v>http://80.28.130.18:8081</v>
      </c>
      <c r="B82" t="s">
        <v>5</v>
      </c>
      <c r="C82" t="str">
        <f t="shared" si="4"/>
        <v>A bit of everything: vids, docs, fonts, podcasts... on various topics mainly in English</v>
      </c>
      <c r="D82" t="s">
        <v>288</v>
      </c>
      <c r="E82" t="s">
        <v>14</v>
      </c>
    </row>
    <row r="83" spans="1:5" x14ac:dyDescent="0.2">
      <c r="A83" t="str">
        <f>HYPERLINK("http://37.147.102.65:443", "http://37.147.102.65:443")</f>
        <v>http://37.147.102.65:443</v>
      </c>
      <c r="B83" t="s">
        <v>5</v>
      </c>
      <c r="C83" t="str">
        <f>HYPERLINK("https://www.reddit.com/r/opendirectories/comments/lka43t", "ODs with Movies, Series, Animes ... subtitled/dubbed in European languages [GER][ITA][POL][HUN][CZE][BOS] ...")</f>
        <v>ODs with Movies, Series, Animes ... subtitled/dubbed in European languages [GER][ITA][POL][HUN][CZE][BOS] ...</v>
      </c>
      <c r="D83" t="s">
        <v>287</v>
      </c>
    </row>
    <row r="84" spans="1:5" x14ac:dyDescent="0.2">
      <c r="A84" t="str">
        <f>HYPERLINK("http://kadak.mrak.cz", "http://kadak.mrak.cz")</f>
        <v>http://kadak.mrak.cz</v>
      </c>
      <c r="B84" t="s">
        <v>5</v>
      </c>
      <c r="C84" t="str">
        <f>HYPERLINK("https://www.reddit.com/r/opendirectories/comments/k1b690", "Czech audiobooks")</f>
        <v>Czech audiobooks</v>
      </c>
      <c r="D84" t="s">
        <v>289</v>
      </c>
    </row>
    <row r="85" spans="1:5" x14ac:dyDescent="0.2">
      <c r="A85" t="str">
        <f>HYPERLINK("http://nemo.lf1.cuni.cz/mlab/Links", "http://nemo.lf1.cuni.cz/mlab/Links")</f>
        <v>http://nemo.lf1.cuni.cz/mlab/Links</v>
      </c>
      <c r="B85" t="s">
        <v>5</v>
      </c>
      <c r="C85" t="str">
        <f>HYPERLINK("https://www.reddit.com/r/opendirectories/comments/lka43t", "ODs with Movies, Series, Animes ... subtitled/dubbed in European languages [GER][ITA][POL][HUN][CZE][BOS] ...")</f>
        <v>ODs with Movies, Series, Animes ... subtitled/dubbed in European languages [GER][ITA][POL][HUN][CZE][BOS] ...</v>
      </c>
      <c r="D85" t="s">
        <v>287</v>
      </c>
    </row>
    <row r="86" spans="1:5" x14ac:dyDescent="0.2">
      <c r="A86" t="str">
        <f>HYPERLINK("http://109.200.155.175", "http://109.200.155.175")</f>
        <v>http://109.200.155.175</v>
      </c>
      <c r="B86" t="s">
        <v>5</v>
      </c>
      <c r="C86" t="str">
        <f>HYPERLINK("https://www.reddit.com/r/opendirectories/comments/li91r8", "Black Sabbath - Paranoid (1970) / Deep Purple - Machine Head (1973) / Pink Floyd - The Endless River (Deluxe) CD &amp;amp; Bluray + Lots of other stuff!!")</f>
        <v>Black Sabbath - Paranoid (1970) / Deep Purple - Machine Head (1973) / Pink Floyd - The Endless River (Deluxe) CD &amp;amp; Bluray + Lots of other stuff!!</v>
      </c>
      <c r="D86" t="s">
        <v>290</v>
      </c>
      <c r="E86" t="s">
        <v>156</v>
      </c>
    </row>
    <row r="87" spans="1:5" x14ac:dyDescent="0.2">
      <c r="A87" t="str">
        <f>HYPERLINK("https://www.live-goddess-club.com/upload", "https://www.live-goddess-club.com/upload")</f>
        <v>https://www.live-goddess-club.com/upload</v>
      </c>
      <c r="B87" t="s">
        <v>5</v>
      </c>
      <c r="C87" t="str">
        <f>HYPERLINK("https://www.reddit.com/r/opendirectories/comments/lhlis3", "[NSFW] pics and vids, mostly dom / bdsm, and a few documents as well")</f>
        <v>[NSFW] pics and vids, mostly dom / bdsm, and a few documents as well</v>
      </c>
      <c r="D87" t="s">
        <v>291</v>
      </c>
    </row>
    <row r="88" spans="1:5" x14ac:dyDescent="0.2">
      <c r="A88" t="str">
        <f>HYPERLINK("https://video.fosdem.org", "https://video.fosdem.org")</f>
        <v>https://video.fosdem.org</v>
      </c>
      <c r="B88" t="s">
        <v>5</v>
      </c>
      <c r="C88" t="str">
        <f>HYPERLINK("https://www.reddit.com/r/opendirectories/comments/leznaq", "FOSDEM - All video recordings (2003-2021)")</f>
        <v>FOSDEM - All video recordings (2003-2021)</v>
      </c>
      <c r="D88" t="s">
        <v>292</v>
      </c>
    </row>
    <row r="89" spans="1:5" x14ac:dyDescent="0.2">
      <c r="A89" t="str">
        <f>HYPERLINK("http://geertjalink.nl", "http://geertjalink.nl")</f>
        <v>http://geertjalink.nl</v>
      </c>
      <c r="B89" t="s">
        <v>5</v>
      </c>
      <c r="C89" t="str">
        <f>HYPERLINK("https://www.reddit.com/r/opendirectories/comments/lbqdyj", "Videos, Documents, Memes, various other files...")</f>
        <v>Videos, Documents, Memes, various other files...</v>
      </c>
      <c r="D89" t="s">
        <v>50</v>
      </c>
    </row>
    <row r="90" spans="1:5" x14ac:dyDescent="0.2">
      <c r="A90" t="str">
        <f>HYPERLINK("http://35.171.144.223", "http://35.171.144.223")</f>
        <v>http://35.171.144.223</v>
      </c>
      <c r="B90" t="s">
        <v>5</v>
      </c>
      <c r="C90" t="str">
        <f>HYPERLINK("https://www.reddit.com/r/opendirectories/comments/l1j5i7", "Bunch of VR Porn")</f>
        <v>Bunch of VR Porn</v>
      </c>
      <c r="D90" t="s">
        <v>293</v>
      </c>
    </row>
    <row r="91" spans="1:5" x14ac:dyDescent="0.2">
      <c r="A91" t="str">
        <f>HYPERLINK("https://artserotica.com/videos", "https://artserotica.com/videos")</f>
        <v>https://artserotica.com/videos</v>
      </c>
      <c r="B91" t="s">
        <v>5</v>
      </c>
      <c r="C91" t="str">
        <f>HYPERLINK("https://www.reddit.com/r/opendirectories/comments/l7z8en", "Largish collection of NSFW videos")</f>
        <v>Largish collection of NSFW videos</v>
      </c>
      <c r="D91" t="s">
        <v>294</v>
      </c>
    </row>
    <row r="92" spans="1:5" x14ac:dyDescent="0.2">
      <c r="A92" t="str">
        <f>HYPERLINK("https://csclub.uwaterloo.ca/~pbarfuss", "https://csclub.uwaterloo.ca/~pbarfuss")</f>
        <v>https://csclub.uwaterloo.ca/~pbarfuss</v>
      </c>
      <c r="B92" t="s">
        <v>5</v>
      </c>
      <c r="C92" t="str">
        <f>HYPERLINK("https://www.reddit.com/r/opendirectories/comments/kw0aeo", "A mix of random things like research papers, midi files, anime girls, and videos")</f>
        <v>A mix of random things like research papers, midi files, anime girls, and videos</v>
      </c>
      <c r="D92" t="s">
        <v>295</v>
      </c>
    </row>
    <row r="93" spans="1:5" x14ac:dyDescent="0.2">
      <c r="A93" t="str">
        <f>HYPERLINK("https://seedbox.retromags.com", "https://seedbox.retromags.com")</f>
        <v>https://seedbox.retromags.com</v>
      </c>
      <c r="B93" t="s">
        <v>5</v>
      </c>
      <c r="C93" t="str">
        <f>HYPERLINK("https://www.reddit.com/r/opendirectories/comments/kqr5yp", "Retromags Full Collection 2005-2020 (2020 Mags, Guides)")</f>
        <v>Retromags Full Collection 2005-2020 (2020 Mags, Guides)</v>
      </c>
      <c r="D93" t="s">
        <v>296</v>
      </c>
    </row>
    <row r="94" spans="1:5" x14ac:dyDescent="0.2">
      <c r="A94" t="str">
        <f>HYPERLINK("https://hypendium.com", "https://hypendium.com")</f>
        <v>https://hypendium.com</v>
      </c>
      <c r="B94" t="s">
        <v>5</v>
      </c>
      <c r="C94" t="str">
        <f>HYPERLINK("https://www.reddit.com/r/opendirectories/comments/kkt0eo", "Not sure but looks like scenes from video games (possibly NSFW)")</f>
        <v>Not sure but looks like scenes from video games (possibly NSFW)</v>
      </c>
      <c r="D94" t="s">
        <v>297</v>
      </c>
    </row>
    <row r="95" spans="1:5" x14ac:dyDescent="0.2">
      <c r="A95" t="str">
        <f>HYPERLINK("http://212.224.80.123:8080", "http://212.224.80.123:8080")</f>
        <v>http://212.224.80.123:8080</v>
      </c>
      <c r="B95" t="s">
        <v>5</v>
      </c>
      <c r="C95" t="str">
        <f>HYPERLINK("https://www.reddit.com/r/opendirectories/comments/kfotpk", "Naughty FLVs")</f>
        <v>Naughty FLVs</v>
      </c>
      <c r="D95" t="s">
        <v>298</v>
      </c>
    </row>
    <row r="96" spans="1:5" x14ac:dyDescent="0.2">
      <c r="A96" t="str">
        <f>HYPERLINK("https://www.alfinetesdemorango.com/wp-content/uploads", "https://www.alfinetesdemorango.com/wp-content/uploads")</f>
        <v>https://www.alfinetesdemorango.com/wp-content/uploads</v>
      </c>
      <c r="B96" t="s">
        <v>5</v>
      </c>
      <c r="C96" t="str">
        <f>HYPERLINK("https://www.reddit.com/r/opendirectories/comments/kb5orl", "The Word of the Day is Ballet")</f>
        <v>The Word of the Day is Ballet</v>
      </c>
      <c r="D96" t="s">
        <v>299</v>
      </c>
      <c r="E96" t="s">
        <v>51</v>
      </c>
    </row>
    <row r="97" spans="1:5" x14ac:dyDescent="0.2">
      <c r="A97" t="str">
        <f>HYPERLINK("https://www.exploringlasvegas.com/shows", "https://www.exploringlasvegas.com/shows")</f>
        <v>https://www.exploringlasvegas.com/shows</v>
      </c>
      <c r="B97" t="s">
        <v>5</v>
      </c>
      <c r="C97" t="str">
        <f>HYPERLINK("https://www.reddit.com/r/opendirectories/comments/kal53h", "Nice collection of Las Vegas shows (possibly NSFW)")</f>
        <v>Nice collection of Las Vegas shows (possibly NSFW)</v>
      </c>
      <c r="D97" t="s">
        <v>300</v>
      </c>
    </row>
    <row r="98" spans="1:5" x14ac:dyDescent="0.2">
      <c r="A98" t="str">
        <f>HYPERLINK("http://www.adultcapital.club", "http://www.adultcapital.club")</f>
        <v>http://www.adultcapital.club</v>
      </c>
      <c r="B98" t="s">
        <v>5</v>
      </c>
      <c r="D98" t="s">
        <v>301</v>
      </c>
    </row>
    <row r="99" spans="1:5" x14ac:dyDescent="0.2">
      <c r="A99" t="str">
        <f>HYPERLINK("http://okaybbs.com/vip/attachments/uploads", "http://okaybbs.com/vip/attachments/uploads")</f>
        <v>http://okaybbs.com/vip/attachments/uploads</v>
      </c>
      <c r="B99" t="s">
        <v>5</v>
      </c>
      <c r="C99" t="str">
        <f>HYPERLINK("https://www.reddit.com/r/opendirectories/comments/irpf1g", "Lots of XXX")</f>
        <v>Lots of XXX</v>
      </c>
      <c r="D99" t="s">
        <v>302</v>
      </c>
    </row>
    <row r="100" spans="1:5" x14ac:dyDescent="0.2">
      <c r="A100" t="str">
        <f>HYPERLINK("http://www.splattermind.com", "http://www.splattermind.com")</f>
        <v>http://www.splattermind.com</v>
      </c>
      <c r="B100" t="s">
        <v>5</v>
      </c>
      <c r="C100" t="str">
        <f>HYPERLINK("https://www.reddit.com/r/opendirectories/comments/aby1kp", "music video and audio")</f>
        <v>music video and audio</v>
      </c>
      <c r="D100" t="s">
        <v>303</v>
      </c>
    </row>
    <row r="101" spans="1:5" x14ac:dyDescent="0.2">
      <c r="A101" t="str">
        <f>HYPERLINK("http://pc.joshw.info", "http://pc.joshw.info")</f>
        <v>http://pc.joshw.info</v>
      </c>
      <c r="B101" t="s">
        <v>5</v>
      </c>
      <c r="C101" t="str">
        <f>HYPERLINK("https://www.reddit.com/r/opendirectories/comments/36my2s", "Collection of old &amp;amp; new games sorted by alphabet")</f>
        <v>Collection of old &amp;amp; new games sorted by alphabet</v>
      </c>
      <c r="D101" t="s">
        <v>304</v>
      </c>
    </row>
    <row r="102" spans="1:5" x14ac:dyDescent="0.2">
      <c r="A102" t="str">
        <f>HYPERLINK("http://www1.zhencang.net:8080", "http://www1.zhencang.net:8080")</f>
        <v>http://www1.zhencang.net:8080</v>
      </c>
      <c r="B102" t="s">
        <v>5</v>
      </c>
      <c r="C102" t="str">
        <f>HYPERLINK("https://www.reddit.com/r/opendirectories/comments/k4al9d", "Chinese... videos?")</f>
        <v>Chinese... videos?</v>
      </c>
      <c r="D102" t="s">
        <v>305</v>
      </c>
      <c r="E102" t="s">
        <v>61</v>
      </c>
    </row>
    <row r="103" spans="1:5" x14ac:dyDescent="0.2">
      <c r="A103" t="str">
        <f>HYPERLINK("http://ftp.kameli.net", "http://ftp.kameli.net")</f>
        <v>http://ftp.kameli.net</v>
      </c>
      <c r="B103" t="s">
        <v>5</v>
      </c>
      <c r="C103" t="str">
        <f>HYPERLINK("https://www.reddit.com/r/opendirectories/comments/331oq2", "Classic Video Game Console Commercials")</f>
        <v>Classic Video Game Console Commercials</v>
      </c>
      <c r="D103" t="s">
        <v>306</v>
      </c>
    </row>
    <row r="104" spans="1:5" x14ac:dyDescent="0.2">
      <c r="A104" t="str">
        <f>HYPERLINK("http://www.kameli.net/~manu", "http://www.kameli.net/~manu")</f>
        <v>http://www.kameli.net/~manu</v>
      </c>
      <c r="B104" t="s">
        <v>5</v>
      </c>
      <c r="C104" t="str">
        <f>HYPERLINK("https://www.reddit.com/r/opendirectories/comments/5ndz7r", "Some video game Mp3's")</f>
        <v>Some video game Mp3's</v>
      </c>
      <c r="D104" t="s">
        <v>307</v>
      </c>
    </row>
    <row r="105" spans="1:5" x14ac:dyDescent="0.2">
      <c r="A105" t="str">
        <f>HYPERLINK("http://www.bustybrits.com/t", "http://www.bustybrits.com/t")</f>
        <v>http://www.bustybrits.com/t</v>
      </c>
      <c r="B105" t="s">
        <v>5</v>
      </c>
      <c r="C105" t="str">
        <f>HYPERLINK("https://www.reddit.com/r/opendirectories/comments/jw447v", "NSFW Finally found porn today, and it's those Brits which I love . Pics and vids.")</f>
        <v>NSFW Finally found porn today, and it's those Brits which I love . Pics and vids.</v>
      </c>
      <c r="D105" t="s">
        <v>308</v>
      </c>
    </row>
    <row r="106" spans="1:5" x14ac:dyDescent="0.2">
      <c r="A106" t="str">
        <f>HYPERLINK("https://74.208.85.26", "https://74.208.85.26")</f>
        <v>https://74.208.85.26</v>
      </c>
      <c r="B106" t="s">
        <v>5</v>
      </c>
      <c r="C106" t="str">
        <f>HYPERLINK("https://www.reddit.com/r/opendirectories/comments/jthnfk", "A bunch of Japanese Animes in various languages (JAP, ENG, RUS, GER)")</f>
        <v>A bunch of Japanese Animes in various languages (JAP, ENG, RUS, GER)</v>
      </c>
      <c r="D106" t="s">
        <v>278</v>
      </c>
      <c r="E106" t="s">
        <v>279</v>
      </c>
    </row>
    <row r="107" spans="1:5" x14ac:dyDescent="0.2">
      <c r="A107" t="str">
        <f>HYPERLINK("http://178.32.222.82:8080", "http://178.32.222.82:8080")</f>
        <v>http://178.32.222.82:8080</v>
      </c>
      <c r="B107" t="s">
        <v>5</v>
      </c>
      <c r="C107" t="str">
        <f>HYPERLINK("https://www.reddit.com/r/opendirectories/comments/jthnfk", "A bunch of Japanese Animes in various languages (JAP, ENG, RUS, GER)")</f>
        <v>A bunch of Japanese Animes in various languages (JAP, ENG, RUS, GER)</v>
      </c>
      <c r="D107" t="s">
        <v>278</v>
      </c>
      <c r="E107" t="s">
        <v>279</v>
      </c>
    </row>
    <row r="108" spans="1:5" x14ac:dyDescent="0.2">
      <c r="A108" t="str">
        <f>HYPERLINK("http://ftphost.nohum.org/video", "http://ftphost.nohum.org/video")</f>
        <v>http://ftphost.nohum.org/video</v>
      </c>
      <c r="B108" t="s">
        <v>5</v>
      </c>
      <c r="C108" t="str">
        <f>HYPERLINK("https://www.reddit.com/r/opendirectories/comments/jo3gk7", "Small selection of movies and history channel collections - all mp4 format")</f>
        <v>Small selection of movies and history channel collections - all mp4 format</v>
      </c>
      <c r="D108" t="s">
        <v>309</v>
      </c>
    </row>
    <row r="109" spans="1:5" x14ac:dyDescent="0.2">
      <c r="A109" t="str">
        <f>HYPERLINK("https://malibustrings.com/competition", "https://malibustrings.com/competition")</f>
        <v>https://malibustrings.com/competition</v>
      </c>
      <c r="B109" t="s">
        <v>5</v>
      </c>
      <c r="C109" t="str">
        <f>HYPERLINK("https://www.reddit.com/r/opendirectories/comments/jmorgs", "Malibu Bikinis, are these legal?")</f>
        <v>Malibu Bikinis, are these legal?</v>
      </c>
      <c r="D109" t="s">
        <v>310</v>
      </c>
      <c r="E109" t="s">
        <v>184</v>
      </c>
    </row>
    <row r="110" spans="1:5" x14ac:dyDescent="0.2">
      <c r="A110" t="str">
        <f>HYPERLINK("https://www.orientbeach.com", "https://www.orientbeach.com")</f>
        <v>https://www.orientbeach.com</v>
      </c>
      <c r="B110" t="s">
        <v>5</v>
      </c>
      <c r="C110" t="str">
        <f>HYPERLINK("https://www.reddit.com/r/opendirectories/comments/jmnfht", "Come to Orient Beach!")</f>
        <v>Come to Orient Beach!</v>
      </c>
      <c r="D110" t="s">
        <v>310</v>
      </c>
    </row>
    <row r="111" spans="1:5" x14ac:dyDescent="0.2">
      <c r="A111" t="str">
        <f>HYPERLINK("http://www.templier.eu/VIDEO-CLIPS", "http://www.templier.eu/VIDEO-CLIPS")</f>
        <v>http://www.templier.eu/VIDEO-CLIPS</v>
      </c>
      <c r="B111" t="s">
        <v>5</v>
      </c>
      <c r="C111" t="str">
        <f>HYPERLINK("https://www.reddit.com/r/opendirectories/comments/jjo1i8", "Quiet a few music videos of varying quality.")</f>
        <v>Quiet a few music videos of varying quality.</v>
      </c>
      <c r="D111" t="s">
        <v>311</v>
      </c>
    </row>
    <row r="112" spans="1:5" x14ac:dyDescent="0.2">
      <c r="A112" t="str">
        <f>HYPERLINK("https://www.doc-developpement-durable.org/file", "https://www.doc-developpement-durable.org/file")</f>
        <v>https://www.doc-developpement-durable.org/file</v>
      </c>
      <c r="B112" t="s">
        <v>5</v>
      </c>
      <c r="C112" t="str">
        <f>HYPERLINK("https://www.reddit.com/r/opendirectories/comments/ji8ynu", "Wind power videos go green")</f>
        <v>Wind power videos go green</v>
      </c>
      <c r="D112" t="s">
        <v>312</v>
      </c>
    </row>
    <row r="113" spans="1:5" x14ac:dyDescent="0.2">
      <c r="A113" t="str">
        <f>HYPERLINK("https://s10.mangovideo.pw", "https://s10.mangovideo.pw")</f>
        <v>https://s10.mangovideo.pw</v>
      </c>
      <c r="B113" t="s">
        <v>5</v>
      </c>
      <c r="C113" t="str">
        <f>HYPERLINK("https://www.reddit.com/r/opendirectories/comments/jb2g3v", "Lots of porn videos.")</f>
        <v>Lots of porn videos.</v>
      </c>
      <c r="D113" t="s">
        <v>313</v>
      </c>
    </row>
    <row r="114" spans="1:5" x14ac:dyDescent="0.2">
      <c r="A114" t="str">
        <f>HYPERLINK("http://ichigo69.mayulive.com/manga", "http://ichigo69.mayulive.com/manga")</f>
        <v>http://ichigo69.mayulive.com/manga</v>
      </c>
      <c r="B114" t="s">
        <v>5</v>
      </c>
      <c r="C114" t="str">
        <f>HYPERLINK("https://www.reddit.com/r/opendirectories/comments/hjnzdo", "index of anime picture books")</f>
        <v>index of anime picture books</v>
      </c>
      <c r="D114" t="s">
        <v>81</v>
      </c>
    </row>
    <row r="115" spans="1:5" x14ac:dyDescent="0.2">
      <c r="A115" t="str">
        <f>HYPERLINK("http://www.evanchar.com:9999", "http://www.evanchar.com:9999")</f>
        <v>http://www.evanchar.com:9999</v>
      </c>
      <c r="B115" t="s">
        <v>5</v>
      </c>
      <c r="C115" t="str">
        <f>HYPERLINK("https://www.reddit.com/r/opendirectories/comments/isitd3", "Good selection of 31 movies in AVI format. File sizes are on the small side, so don't expect jaw dropping video quality. Up Directory has a moderate sized collection of Electronic/DJ music.")</f>
        <v>Good selection of 31 movies in AVI format. File sizes are on the small side, so don't expect jaw dropping video quality. Up Directory has a moderate sized collection of Electronic/DJ music.</v>
      </c>
      <c r="D115" t="s">
        <v>314</v>
      </c>
    </row>
    <row r="116" spans="1:5" x14ac:dyDescent="0.2">
      <c r="A116" t="str">
        <f>HYPERLINK("http://192.210.237.133", "http://192.210.237.133")</f>
        <v>http://192.210.237.133</v>
      </c>
      <c r="B116" t="s">
        <v>5</v>
      </c>
      <c r="C116" t="str">
        <f>HYPERLINK("https://www.reddit.com/r/opendirectories/comments/imiimb", "some SACD")</f>
        <v>some SACD</v>
      </c>
      <c r="D116" t="s">
        <v>69</v>
      </c>
    </row>
    <row r="117" spans="1:5" x14ac:dyDescent="0.2">
      <c r="A117" t="str">
        <f>HYPERLINK("http://www.jeepolog.com/UserFiles", "http://www.jeepolog.com/UserFiles")</f>
        <v>http://www.jeepolog.com/UserFiles</v>
      </c>
      <c r="B117" t="s">
        <v>5</v>
      </c>
      <c r="C117" t="str">
        <f>HYPERLINK("https://www.reddit.com/r/opendirectories/comments/ikct32", "Jeep and other 4X4 Manuals and Information")</f>
        <v>Jeep and other 4X4 Manuals and Information</v>
      </c>
      <c r="D117" t="s">
        <v>315</v>
      </c>
    </row>
    <row r="118" spans="1:5" x14ac:dyDescent="0.2">
      <c r="A118" t="str">
        <f>HYPERLINK("http://ec2-23-22-79-177.compute-1.amazonaws.com/video_result", "http://ec2-23-22-79-177.compute-1.amazonaws.com/video_result")</f>
        <v>http://ec2-23-22-79-177.compute-1.amazonaws.com/video_result</v>
      </c>
      <c r="B118" t="s">
        <v>5</v>
      </c>
      <c r="C118" t="str">
        <f>HYPERLINK("https://www.reddit.com/r/opendirectories/comments/gzu4uu", "Huge Collection of Hand Sign Training Videos")</f>
        <v>Huge Collection of Hand Sign Training Videos</v>
      </c>
      <c r="D118" t="s">
        <v>316</v>
      </c>
    </row>
    <row r="119" spans="1:5" x14ac:dyDescent="0.2">
      <c r="A119" t="str">
        <f>HYPERLINK("http://ftp.pigwa.net", "http://ftp.pigwa.net")</f>
        <v>http://ftp.pigwa.net</v>
      </c>
      <c r="B119" t="s">
        <v>5</v>
      </c>
      <c r="C119" t="str">
        <f>HYPERLINK("https://www.reddit.com/r/opendirectories/comments/aeymqt", "845GB Archive of Atari/8bit Demoscene material (party folders, videos, actual demo files, emulators etc)")</f>
        <v>845GB Archive of Atari/8bit Demoscene material (party folders, videos, actual demo files, emulators etc)</v>
      </c>
      <c r="D119" t="s">
        <v>317</v>
      </c>
    </row>
    <row r="120" spans="1:5" x14ac:dyDescent="0.2">
      <c r="A120" t="str">
        <f>HYPERLINK("https://data.passageenseine.org", "https://data.passageenseine.org")</f>
        <v>https://data.passageenseine.org</v>
      </c>
      <c r="B120" t="s">
        <v>5</v>
      </c>
      <c r="C120" t="str">
        <f>HYPERLINK("https://www.reddit.com/r/opendirectories/comments/g4yd13", "a lot of documents and video tutorials in french")</f>
        <v>a lot of documents and video tutorials in french</v>
      </c>
      <c r="D120" t="s">
        <v>90</v>
      </c>
      <c r="E120" t="s">
        <v>51</v>
      </c>
    </row>
    <row r="121" spans="1:5" x14ac:dyDescent="0.2">
      <c r="A121" t="str">
        <f>HYPERLINK("http://www.shmygelskyy.name", "http://www.shmygelskyy.name")</f>
        <v>http://www.shmygelskyy.name</v>
      </c>
      <c r="B121" t="s">
        <v>5</v>
      </c>
      <c r="C121" t="str">
        <f>HYPERLINK("https://www.reddit.com/r/opendirectories/comments/fpwn1t", "Index of Movies,mostly bluray.")</f>
        <v>Index of Movies,mostly bluray.</v>
      </c>
      <c r="D121" t="s">
        <v>318</v>
      </c>
      <c r="E121" t="s">
        <v>14</v>
      </c>
    </row>
    <row r="122" spans="1:5" x14ac:dyDescent="0.2">
      <c r="A122" t="str">
        <f>HYPERLINK("http://54.39.100.236", "http://54.39.100.236")</f>
        <v>http://54.39.100.236</v>
      </c>
      <c r="B122" t="s">
        <v>5</v>
      </c>
      <c r="C122" t="str">
        <f>HYPERLINK("https://www.reddit.com/r/opendirectories/comments/fjmgp0", "Whole bunch of movies and stuff")</f>
        <v>Whole bunch of movies and stuff</v>
      </c>
      <c r="D122" t="s">
        <v>319</v>
      </c>
      <c r="E122" t="s">
        <v>14</v>
      </c>
    </row>
    <row r="123" spans="1:5" x14ac:dyDescent="0.2">
      <c r="A123" t="str">
        <f>HYPERLINK("http://extreme-video.org/imagehosting", "http://extreme-video.org/imagehosting")</f>
        <v>http://extreme-video.org/imagehosting</v>
      </c>
      <c r="B123" t="s">
        <v>5</v>
      </c>
      <c r="C123" t="str">
        <f>HYPERLINK("https://www.reddit.com/r/opendirectories/comments/5ltjoa", "You probably DON'T want to see this. NSFW NSFL")</f>
        <v>You probably DON'T want to see this. NSFW NSFL</v>
      </c>
      <c r="D123" t="s">
        <v>208</v>
      </c>
    </row>
    <row r="124" spans="1:5" x14ac:dyDescent="0.2">
      <c r="A124" t="str">
        <f>HYPERLINK("http://94.130.187.68/UFO%20Material%20-%20UFO%20Videos", "http://94.130.187.68/UFO%20Material%20-%20UFO%20Videos")</f>
        <v>http://94.130.187.68/UFO%20Material%20-%20UFO%20Videos</v>
      </c>
      <c r="B124" t="s">
        <v>5</v>
      </c>
      <c r="C124" t="str">
        <f>HYPERLINK("https://www.reddit.com/r/opendirectories/comments/f6j3bx", "UFO Videos")</f>
        <v>UFO Videos</v>
      </c>
      <c r="D124" t="s">
        <v>320</v>
      </c>
    </row>
    <row r="125" spans="1:5" x14ac:dyDescent="0.2">
      <c r="A125" t="str">
        <f>HYPERLINK("http://www.dblab.ntua.gr/~gtsat/collection", "http://www.dblab.ntua.gr/~gtsat/collection")</f>
        <v>http://www.dblab.ntua.gr/~gtsat/collection</v>
      </c>
      <c r="B125" t="s">
        <v>5</v>
      </c>
      <c r="C125" t="str">
        <f>HYPERLINK("https://www.reddit.com/r/opendirectories/comments/60wrph", "Collection of computer science/information theory books (machine learning, data streams, algorithms, etc.)")</f>
        <v>Collection of computer science/information theory books (machine learning, data streams, algorithms, etc.)</v>
      </c>
      <c r="D125" t="s">
        <v>321</v>
      </c>
    </row>
    <row r="126" spans="1:5" x14ac:dyDescent="0.2">
      <c r="A126" t="str">
        <f>HYPERLINK("http://parmasoft2.persiangig.com", "http://parmasoft2.persiangig.com")</f>
        <v>http://parmasoft2.persiangig.com</v>
      </c>
      <c r="B126" t="s">
        <v>5</v>
      </c>
      <c r="C126" t="str">
        <f>HYPERLINK("https://www.reddit.com/r/opendirectories/comments/eqbb7r", "Ok, now these should count as actual ODs I guess...")</f>
        <v>Ok, now these should count as actual ODs I guess...</v>
      </c>
      <c r="D126" t="s">
        <v>322</v>
      </c>
    </row>
    <row r="127" spans="1:5" x14ac:dyDescent="0.2">
      <c r="A127" t="str">
        <f>HYPERLINK("https://media.torproject.org", "https://media.torproject.org")</f>
        <v>https://media.torproject.org</v>
      </c>
      <c r="B127" t="s">
        <v>5</v>
      </c>
      <c r="C127" t="str">
        <f>HYPERLINK("https://www.reddit.com/r/opendirectories/comments/e1h7m8", "Some older videos and guides relating to or about TOR")</f>
        <v>Some older videos and guides relating to or about TOR</v>
      </c>
      <c r="D127" t="s">
        <v>104</v>
      </c>
    </row>
    <row r="128" spans="1:5" x14ac:dyDescent="0.2">
      <c r="A128" t="str">
        <f>HYPERLINK("http://web.ee.sun.ac.za/~pnwk/stuff", "http://web.ee.sun.ac.za/~pnwk/stuff")</f>
        <v>http://web.ee.sun.ac.za/~pnwk/stuff</v>
      </c>
      <c r="B128" t="s">
        <v>5</v>
      </c>
      <c r="C128" t="str">
        <f>HYPERLINK("https://www.reddit.com/r/opendirectories/comments/e14ncd", "interesting science videos")</f>
        <v>interesting science videos</v>
      </c>
      <c r="D128" t="s">
        <v>323</v>
      </c>
    </row>
    <row r="129" spans="1:5" x14ac:dyDescent="0.2">
      <c r="A129" t="str">
        <f>HYPERLINK("http://www.aliceinbondageland.com/Affiliates", "http://www.aliceinbondageland.com/Affiliates")</f>
        <v>http://www.aliceinbondageland.com/Affiliates</v>
      </c>
      <c r="B129" t="s">
        <v>5</v>
      </c>
      <c r="C129" t="str">
        <f>HYPERLINK("https://www.reddit.com/r/opendirectories/comments/arz25c", "Bondage Porn")</f>
        <v>Bondage Porn</v>
      </c>
      <c r="D129" t="s">
        <v>324</v>
      </c>
    </row>
    <row r="130" spans="1:5" x14ac:dyDescent="0.2">
      <c r="A130" t="str">
        <f>HYPERLINK("http://37.156.146.163", "http://37.156.146.163")</f>
        <v>http://37.156.146.163</v>
      </c>
      <c r="B130" t="s">
        <v>5</v>
      </c>
      <c r="C130" t="str">
        <f>HYPERLINK("https://www.reddit.com/r/opendirectories/comments/dwultc", "Mixed IT stuff - software, books, video courses")</f>
        <v>Mixed IT stuff - software, books, video courses</v>
      </c>
      <c r="D130" t="s">
        <v>325</v>
      </c>
    </row>
    <row r="131" spans="1:5" x14ac:dyDescent="0.2">
      <c r="A131" t="str">
        <f>HYPERLINK("http://www.bur.st/~omp0lyom/iosho.com/Music", "http://www.bur.st/~omp0lyom/iosho.com/Music")</f>
        <v>http://www.bur.st/~omp0lyom/iosho.com/Music</v>
      </c>
      <c r="B131" t="s">
        <v>5</v>
      </c>
      <c r="C131" t="str">
        <f>HYPERLINK("https://www.reddit.com/r/opendirectories/comments/dwtop2", "Old music videos in ASF format")</f>
        <v>Old music videos in ASF format</v>
      </c>
      <c r="D131" t="s">
        <v>325</v>
      </c>
    </row>
    <row r="132" spans="1:5" x14ac:dyDescent="0.2">
      <c r="A132" t="str">
        <f>HYPERLINK("http://xbox.joshw.info", "http://xbox.joshw.info")</f>
        <v>http://xbox.joshw.info</v>
      </c>
      <c r="B132" t="s">
        <v>5</v>
      </c>
      <c r="C132" t="str">
        <f>HYPERLINK("https://www.reddit.com/r/opendirectories/comments/dwl0rv", "MISC Open Directories [Games, Roms, OSTs, more games, anime]")</f>
        <v>MISC Open Directories [Games, Roms, OSTs, more games, anime]</v>
      </c>
      <c r="D132" t="s">
        <v>325</v>
      </c>
      <c r="E132" t="s">
        <v>51</v>
      </c>
    </row>
    <row r="133" spans="1:5" x14ac:dyDescent="0.2">
      <c r="A133" t="str">
        <f>HYPERLINK("http://www.takeoverworld.info", "http://www.takeoverworld.info")</f>
        <v>http://www.takeoverworld.info</v>
      </c>
      <c r="B133" t="s">
        <v>5</v>
      </c>
      <c r="C133" t="str">
        <f>HYPERLINK("https://www.reddit.com/r/opendirectories/comments/dvob9u", "Directory for political corruption/ alt mediawebsite. Videos and such")</f>
        <v>Directory for political corruption/ alt mediawebsite. Videos and such</v>
      </c>
      <c r="D133" t="s">
        <v>326</v>
      </c>
    </row>
    <row r="134" spans="1:5" x14ac:dyDescent="0.2">
      <c r="A134" t="str">
        <f>HYPERLINK("http://www.c0op3r.com/images", "http://www.c0op3r.com/images")</f>
        <v>http://www.c0op3r.com/images</v>
      </c>
      <c r="B134" t="s">
        <v>5</v>
      </c>
      <c r="C134" t="str">
        <f>HYPERLINK("https://www.reddit.com/r/opendirectories/comments/de531x", "Amiga stuff")</f>
        <v>Amiga stuff</v>
      </c>
      <c r="D134" t="s">
        <v>327</v>
      </c>
    </row>
    <row r="135" spans="1:5" x14ac:dyDescent="0.2">
      <c r="A135" t="str">
        <f>HYPERLINK("http://worldofmenchi.fr/Amiga", "http://worldofmenchi.fr/Amiga")</f>
        <v>http://worldofmenchi.fr/Amiga</v>
      </c>
      <c r="B135" t="s">
        <v>5</v>
      </c>
      <c r="C135" t="str">
        <f>HYPERLINK("https://www.reddit.com/r/opendirectories/comments/de531x", "Amiga stuff")</f>
        <v>Amiga stuff</v>
      </c>
      <c r="D135" t="s">
        <v>327</v>
      </c>
    </row>
    <row r="136" spans="1:5" x14ac:dyDescent="0.2">
      <c r="A136" t="str">
        <f>HYPERLINK("http://jedi.org", "http://jedi.org")</f>
        <v>http://jedi.org</v>
      </c>
      <c r="B136" t="s">
        <v>5</v>
      </c>
      <c r="C136" t="str">
        <f>HYPERLINK("https://www.reddit.com/r/opendirectories/comments/d6ogyu", "[Pics mostly, some videos] Oldies but Goldies from 2005 era")</f>
        <v>[Pics mostly, some videos] Oldies but Goldies from 2005 era</v>
      </c>
      <c r="D136" t="s">
        <v>328</v>
      </c>
    </row>
    <row r="137" spans="1:5" x14ac:dyDescent="0.2">
      <c r="A137" t="str">
        <f>HYPERLINK("http://smpanthers.org/fshafai/files", "http://smpanthers.org/fshafai/files")</f>
        <v>http://smpanthers.org/fshafai/files</v>
      </c>
      <c r="B137" t="s">
        <v>5</v>
      </c>
      <c r="C137" t="str">
        <f>HYPERLINK("https://www.reddit.com/r/opendirectories/comments/d6ogyu", "[Pics mostly, some videos] Oldies but Goldies from 2005 era")</f>
        <v>[Pics mostly, some videos] Oldies but Goldies from 2005 era</v>
      </c>
      <c r="D137" t="s">
        <v>328</v>
      </c>
    </row>
    <row r="138" spans="1:5" x14ac:dyDescent="0.2">
      <c r="A138" t="str">
        <f>HYPERLINK("http://kunstadeltgeistingen.be/toneelstukken", "http://kunstadeltgeistingen.be/toneelstukken")</f>
        <v>http://kunstadeltgeistingen.be/toneelstukken</v>
      </c>
      <c r="B138" t="s">
        <v>5</v>
      </c>
      <c r="C138" t="str">
        <f>HYPERLINK("https://www.reddit.com/r/opendirectories/comments/d6ogyu", "[Pics mostly, some videos] Oldies but Goldies from 2005 era")</f>
        <v>[Pics mostly, some videos] Oldies but Goldies from 2005 era</v>
      </c>
      <c r="D138" t="s">
        <v>328</v>
      </c>
    </row>
    <row r="139" spans="1:5" x14ac:dyDescent="0.2">
      <c r="A139" t="str">
        <f>HYPERLINK("http://54.36.110.144/media/big2/00:1A:79:2F:5B:48", "http://54.36.110.144/media/big2/00:1A:79:2F:5B:48")</f>
        <v>http://54.36.110.144/media/big2/00:1A:79:2F:5B:48</v>
      </c>
      <c r="B139" t="s">
        <v>5</v>
      </c>
      <c r="C139" t="str">
        <f>HYPERLINK("https://www.reddit.com/r/opendirectories/comments/bzqupy", "some 50+mbps download speeds, some 10,000+ dirs with files BUT")</f>
        <v>some 50+mbps download speeds, some 10,000+ dirs with files BUT</v>
      </c>
      <c r="D139" t="s">
        <v>329</v>
      </c>
      <c r="E139" t="s">
        <v>14</v>
      </c>
    </row>
    <row r="140" spans="1:5" x14ac:dyDescent="0.2">
      <c r="A140" t="str">
        <f>HYPERLINK("http://54.36.110.144/media/big2/00:1A:79:2F:78:C9", "http://54.36.110.144/media/big2/00:1A:79:2F:78:C9")</f>
        <v>http://54.36.110.144/media/big2/00:1A:79:2F:78:C9</v>
      </c>
      <c r="B140" t="s">
        <v>5</v>
      </c>
      <c r="C140" t="str">
        <f>HYPERLINK("https://www.reddit.com/r/opendirectories/comments/bzqupy", "some 50+mbps download speeds, some 10,000+ dirs with files BUT")</f>
        <v>some 50+mbps download speeds, some 10,000+ dirs with files BUT</v>
      </c>
      <c r="D140" t="s">
        <v>329</v>
      </c>
      <c r="E140" t="s">
        <v>14</v>
      </c>
    </row>
    <row r="141" spans="1:5" x14ac:dyDescent="0.2">
      <c r="A141" t="str">
        <f>HYPERLINK("http://62-210-103-107.rev.poneytelecom.eu/torrent", "http://62-210-103-107.rev.poneytelecom.eu/torrent")</f>
        <v>http://62-210-103-107.rev.poneytelecom.eu/torrent</v>
      </c>
      <c r="B141" t="s">
        <v>5</v>
      </c>
      <c r="C141" t="str">
        <f>HYPERLINK("https://www.reddit.com/r/opendirectories/comments/bx2qjh", "[FR/EN] Movies / TV Shows / Softwares / Music / Misc")</f>
        <v>[FR/EN] Movies / TV Shows / Softwares / Music / Misc</v>
      </c>
      <c r="D141" t="s">
        <v>273</v>
      </c>
      <c r="E141" t="s">
        <v>51</v>
      </c>
    </row>
    <row r="142" spans="1:5" x14ac:dyDescent="0.2">
      <c r="A142" t="str">
        <f>HYPERLINK("http://www.training.healthyshopping.club/Personal%20Growth", "http://www.training.healthyshopping.club/Personal%20Growth")</f>
        <v>http://www.training.healthyshopping.club/Personal%20Growth</v>
      </c>
      <c r="B142" t="s">
        <v>5</v>
      </c>
      <c r="C142" t="str">
        <f>HYPERLINK("https://www.reddit.com/r/opendirectories/comments/bie9x0", "Personal growth Videos and Audio")</f>
        <v>Personal growth Videos and Audio</v>
      </c>
      <c r="D142" t="s">
        <v>132</v>
      </c>
    </row>
    <row r="143" spans="1:5" x14ac:dyDescent="0.2">
      <c r="A143" t="str">
        <f>HYPERLINK("http://sdasofia.org/dataup", "http://sdasofia.org/dataup")</f>
        <v>http://sdasofia.org/dataup</v>
      </c>
      <c r="B143" t="s">
        <v>5</v>
      </c>
      <c r="C143" t="str">
        <f>HYPERLINK("https://www.reddit.com/r/opendirectories/comments/bfsioi", "Baby Einstein Music and other Christian based alubums/videos in parent")</f>
        <v>Baby Einstein Music and other Christian based alubums/videos in parent</v>
      </c>
      <c r="D143" t="s">
        <v>330</v>
      </c>
    </row>
    <row r="144" spans="1:5" x14ac:dyDescent="0.2">
      <c r="A144" t="str">
        <f>HYPERLINK("http://verificacion.surweb.es/video", "http://verificacion.surweb.es/video")</f>
        <v>http://verificacion.surweb.es/video</v>
      </c>
      <c r="B144" t="s">
        <v>5</v>
      </c>
      <c r="C144" t="str">
        <f>HYPERLINK("https://www.reddit.com/r/opendirectories/comments/b7syuv", "Collection of Movies organized by Genres + Series")</f>
        <v>Collection of Movies organized by Genres + Series</v>
      </c>
      <c r="D144" t="s">
        <v>331</v>
      </c>
    </row>
    <row r="145" spans="1:4" x14ac:dyDescent="0.2">
      <c r="A145" t="str">
        <f>HYPERLINK("http://baseshare.com/uploads/songs", "http://baseshare.com/uploads/songs")</f>
        <v>http://baseshare.com/uploads/songs</v>
      </c>
      <c r="B145" t="s">
        <v>5</v>
      </c>
      <c r="C145" t="str">
        <f>HYPERLINK("https://www.reddit.com/r/opendirectories/comments/b1g2uj", "dig if bored -- literally unsorted,mostly, mp3 'n such")</f>
        <v>dig if bored -- literally unsorted,mostly, mp3 'n such</v>
      </c>
      <c r="D145" t="s">
        <v>332</v>
      </c>
    </row>
    <row r="146" spans="1:4" x14ac:dyDescent="0.2">
      <c r="A146" t="str">
        <f>HYPERLINK("http://aircredits.net/thi/mixtapes", "http://aircredits.net/thi/mixtapes")</f>
        <v>http://aircredits.net/thi/mixtapes</v>
      </c>
      <c r="B146" t="s">
        <v>5</v>
      </c>
      <c r="C146" t="str">
        <f>HYPERLINK("https://www.reddit.com/r/opendirectories/comments/8ykemt", "The Hood Internet - Mashup Mixtapes")</f>
        <v>The Hood Internet - Mashup Mixtapes</v>
      </c>
      <c r="D146" t="s">
        <v>165</v>
      </c>
    </row>
    <row r="147" spans="1:4" x14ac:dyDescent="0.2">
      <c r="A147" t="str">
        <f>HYPERLINK("http://bork.informatik.uni-erlangen.de", "http://bork.informatik.uni-erlangen.de")</f>
        <v>http://bork.informatik.uni-erlangen.de</v>
      </c>
      <c r="B147" t="s">
        <v>5</v>
      </c>
      <c r="C147" t="str">
        <f>HYPERLINK("https://www.reddit.com/r/opendirectories/comments/at4w1k", "CRYPTO/SECURITY RELATED VIDEOS (LOTS OF THEM/COULD BE NSFW)")</f>
        <v>CRYPTO/SECURITY RELATED VIDEOS (LOTS OF THEM/COULD BE NSFW)</v>
      </c>
      <c r="D147" t="s">
        <v>284</v>
      </c>
    </row>
    <row r="148" spans="1:4" x14ac:dyDescent="0.2">
      <c r="A148" t="str">
        <f>HYPERLINK("http://gcn.joshw.info", "http://gcn.joshw.info")</f>
        <v>http://gcn.joshw.info</v>
      </c>
      <c r="B148" t="s">
        <v>5</v>
      </c>
      <c r="C148" t="str">
        <f>HYPERLINK("https://www.reddit.com/r/opendirectories/comments/an2qec", "Here's a good source for Gamecube isos now that they're gone from the-eye.")</f>
        <v>Here's a good source for Gamecube isos now that they're gone from the-eye.</v>
      </c>
      <c r="D148" t="s">
        <v>333</v>
      </c>
    </row>
    <row r="149" spans="1:4" x14ac:dyDescent="0.2">
      <c r="A149" t="str">
        <f>HYPERLINK("http://t94xr.download", "http://t94xr.download")</f>
        <v>http://t94xr.download</v>
      </c>
      <c r="B149" t="s">
        <v>5</v>
      </c>
      <c r="C149" t="str">
        <f>HYPERLINK("https://www.reddit.com/r/opendirectories/comments/akw1u2", "Movies &amp;amp; Series [~2MB/s]")</f>
        <v>Movies &amp;amp; Series [~2MB/s]</v>
      </c>
      <c r="D149" t="s">
        <v>334</v>
      </c>
    </row>
    <row r="150" spans="1:4" x14ac:dyDescent="0.2">
      <c r="A150" t="str">
        <f>HYPERLINK("http://www.serenitystreetnews.com/videos", "http://www.serenitystreetnews.com/videos")</f>
        <v>http://www.serenitystreetnews.com/videos</v>
      </c>
      <c r="B150" t="s">
        <v>5</v>
      </c>
      <c r="C150" t="str">
        <f>HYPERLINK("https://www.reddit.com/r/opendirectories/comments/aiir47", "Seems to be a lot of video stuff, that someone, got off youtube, dailymotion. No movies, as far as I can see.")</f>
        <v>Seems to be a lot of video stuff, that someone, got off youtube, dailymotion. No movies, as far as I can see.</v>
      </c>
      <c r="D150" t="s">
        <v>335</v>
      </c>
    </row>
    <row r="151" spans="1:4" x14ac:dyDescent="0.2">
      <c r="A151" t="str">
        <f>HYPERLINK("http://www.federaljack.com/badcops", "http://www.federaljack.com/badcops")</f>
        <v>http://www.federaljack.com/badcops</v>
      </c>
      <c r="B151" t="s">
        <v>5</v>
      </c>
      <c r="C151" t="str">
        <f>HYPERLINK("https://www.reddit.com/r/opendirectories/comments/aeda28", "videos of American police brutality and misconduct")</f>
        <v>videos of American police brutality and misconduct</v>
      </c>
      <c r="D151" t="s">
        <v>336</v>
      </c>
    </row>
    <row r="152" spans="1:4" x14ac:dyDescent="0.2">
      <c r="A152" t="str">
        <f>HYPERLINK("http://chimpmania.com/forum/skim", "http://chimpmania.com/forum/skim")</f>
        <v>http://chimpmania.com/forum/skim</v>
      </c>
      <c r="B152" t="s">
        <v>5</v>
      </c>
      <c r="C152" t="str">
        <f>HYPERLINK("https://www.reddit.com/r/opendirectories/comments/ae1kld", "collection of racist KKK songs, flash videos and pictures")</f>
        <v>collection of racist KKK songs, flash videos and pictures</v>
      </c>
      <c r="D152" t="s">
        <v>337</v>
      </c>
    </row>
    <row r="153" spans="1:4" x14ac:dyDescent="0.2">
      <c r="A153" t="str">
        <f>HYPERLINK("http://pacsteam.org/Shareware", "http://pacsteam.org/Shareware")</f>
        <v>http://pacsteam.org/Shareware</v>
      </c>
      <c r="B153" t="s">
        <v>5</v>
      </c>
      <c r="C153" t="str">
        <f>HYPERLINK("https://www.reddit.com/r/opendirectories/comments/adymcu", "Conspiracy(Vids,Books,Audio.) Also: AudioBooks, Games, Music, Futurama (7 seasons) and more..")</f>
        <v>Conspiracy(Vids,Books,Audio.) Also: AudioBooks, Games, Music, Futurama (7 seasons) and more..</v>
      </c>
      <c r="D153" t="s">
        <v>338</v>
      </c>
    </row>
    <row r="154" spans="1:4" x14ac:dyDescent="0.2">
      <c r="A154" t="str">
        <f>HYPERLINK("https://www.hcs64.com/mboard", "https://www.hcs64.com/mboard")</f>
        <v>https://www.hcs64.com/mboard</v>
      </c>
      <c r="B154" t="s">
        <v>5</v>
      </c>
      <c r="C154" t="str">
        <f>HYPERLINK("https://www.reddit.com/r/opendirectories/comments/a201mc", "Original Music Files from Thousands of Video Games")</f>
        <v>Original Music Files from Thousands of Video Games</v>
      </c>
      <c r="D154" t="s">
        <v>339</v>
      </c>
    </row>
    <row r="155" spans="1:4" x14ac:dyDescent="0.2">
      <c r="A155" t="str">
        <f>HYPERLINK("http://samples.mplayerhq.hu", "http://samples.mplayerhq.hu")</f>
        <v>http://samples.mplayerhq.hu</v>
      </c>
      <c r="B155" t="s">
        <v>5</v>
      </c>
      <c r="C155" t="str">
        <f>HYPERLINK("https://www.reddit.com/r/opendirectories/comments/a11et2", "Many file samples in many audio/video formats")</f>
        <v>Many file samples in many audio/video formats</v>
      </c>
      <c r="D155" t="s">
        <v>340</v>
      </c>
    </row>
    <row r="156" spans="1:4" x14ac:dyDescent="0.2">
      <c r="A156" t="str">
        <f>HYPERLINK("http://kuukunen.net/flash", "http://kuukunen.net/flash")</f>
        <v>http://kuukunen.net/flash</v>
      </c>
      <c r="B156" t="s">
        <v>5</v>
      </c>
      <c r="C156" t="str">
        <f>HYPERLINK("https://www.reddit.com/r/opendirectories/comments/15dcxl", "Lots of flash videos/games (.swf)")</f>
        <v>Lots of flash videos/games (.swf)</v>
      </c>
      <c r="D156" t="s">
        <v>341</v>
      </c>
    </row>
    <row r="157" spans="1:4" x14ac:dyDescent="0.2">
      <c r="A157" t="str">
        <f>HYPERLINK("http://files.diydharma.org", "http://files.diydharma.org")</f>
        <v>http://files.diydharma.org</v>
      </c>
      <c r="B157" t="s">
        <v>5</v>
      </c>
      <c r="C157" t="str">
        <f>HYPERLINK("https://www.reddit.com/r/opendirectories/comments/9vb9m3", "Audibooks, Books, and Videos to to with Zen and Self-Sufficiency")</f>
        <v>Audibooks, Books, and Videos to to with Zen and Self-Sufficiency</v>
      </c>
      <c r="D157" t="s">
        <v>342</v>
      </c>
    </row>
    <row r="158" spans="1:4" x14ac:dyDescent="0.2">
      <c r="A158" t="str">
        <f>HYPERLINK("https://datapacket.com", "https://datapacket.com")</f>
        <v>https://datapacket.com</v>
      </c>
      <c r="B158" t="s">
        <v>5</v>
      </c>
      <c r="C158" t="str">
        <f>HYPERLINK("https://www.reddit.com/r/opendirectories/comments/92fnzh", "Revamped Fusker System - View Open Directory Images @ The-Eye")</f>
        <v>Revamped Fusker System - View Open Directory Images @ The-Eye</v>
      </c>
      <c r="D158" t="s">
        <v>161</v>
      </c>
    </row>
    <row r="159" spans="1:4" x14ac:dyDescent="0.2">
      <c r="A159" t="str">
        <f>HYPERLINK("http://people.vts.su.ac.rs/~pmiki", "http://people.vts.su.ac.rs/~pmiki")</f>
        <v>http://people.vts.su.ac.rs/~pmiki</v>
      </c>
      <c r="B159" t="s">
        <v>5</v>
      </c>
      <c r="C159" t="str">
        <f>HYPERLINK("https://www.reddit.com/r/opendirectories/comments/9sm31p", "mix few mp3, some tut/lecture/learning")</f>
        <v>mix few mp3, some tut/lecture/learning</v>
      </c>
      <c r="D159" t="s">
        <v>343</v>
      </c>
    </row>
    <row r="160" spans="1:4" x14ac:dyDescent="0.2">
      <c r="A160" t="str">
        <f>HYPERLINK("http://mediaset.sdasofia.org/MEDIA%20SET/index.php", "http://mediaset.sdasofia.org/MEDIA%20SET/index.php")</f>
        <v>http://mediaset.sdasofia.org/MEDIA%20SET/index.php</v>
      </c>
      <c r="B160" t="s">
        <v>5</v>
      </c>
      <c r="C160" t="str">
        <f>HYPERLINK("https://www.reddit.com/r/opendirectories/comments/9rj7h1", "Classical Music, Religious Music, Christmas Music, bible_atlas.pdf, _second koming.ppt")</f>
        <v>Classical Music, Religious Music, Christmas Music, bible_atlas.pdf, _second koming.ppt</v>
      </c>
      <c r="D160" t="s">
        <v>344</v>
      </c>
    </row>
    <row r="161" spans="1:5" x14ac:dyDescent="0.2">
      <c r="A161" t="str">
        <f>HYPERLINK("https://www.observatorij.org/allsky", "https://www.observatorij.org/allsky")</f>
        <v>https://www.observatorij.org/allsky</v>
      </c>
      <c r="B161" t="s">
        <v>5</v>
      </c>
      <c r="C161" t="str">
        <f>HYPERLINK("https://www.reddit.com/r/opendirectories/comments/94hh3v", "Crni Vrh Observatory [VIDEO] Recordings of the Nightime Sky 2004-18")</f>
        <v>Crni Vrh Observatory [VIDEO] Recordings of the Nightime Sky 2004-18</v>
      </c>
      <c r="D161" t="s">
        <v>345</v>
      </c>
    </row>
    <row r="162" spans="1:5" x14ac:dyDescent="0.2">
      <c r="A162" t="str">
        <f>HYPERLINK("http://firepig.tartarus.feralhosting.com", "http://firepig.tartarus.feralhosting.com")</f>
        <v>http://firepig.tartarus.feralhosting.com</v>
      </c>
      <c r="B162" t="s">
        <v>5</v>
      </c>
      <c r="C162" t="str">
        <f>HYPERLINK("https://www.reddit.com/r/opendirectories/comments/8ufnbh", "Video Game Roms - Movies - TV")</f>
        <v>Video Game Roms - Movies - TV</v>
      </c>
      <c r="D162" t="s">
        <v>166</v>
      </c>
    </row>
    <row r="163" spans="1:5" x14ac:dyDescent="0.2">
      <c r="A163" t="str">
        <f>HYPERLINK("https://10gbps.io", "https://10gbps.io")</f>
        <v>https://10gbps.io</v>
      </c>
      <c r="B163" t="s">
        <v>5</v>
      </c>
      <c r="C163" t="str">
        <f>HYPERLINK("https://www.reddit.com/r/opendirectories/comments/7gs0f2", "Google Index Search Engine @ The-Eye")</f>
        <v>Google Index Search Engine @ The-Eye</v>
      </c>
      <c r="D163" t="s">
        <v>346</v>
      </c>
    </row>
    <row r="164" spans="1:5" x14ac:dyDescent="0.2">
      <c r="A164" t="str">
        <f>HYPERLINK("http://vip.aersia.net/mu", "http://vip.aersia.net/mu")</f>
        <v>http://vip.aersia.net/mu</v>
      </c>
      <c r="B164" t="s">
        <v>5</v>
      </c>
      <c r="C164" t="str">
        <f>HYPERLINK("https://www.reddit.com/r/opendirectories/comments/7sorhy", "A lot of video game music (complete playlist is at vip.aersia.net)")</f>
        <v>A lot of video game music (complete playlist is at vip.aersia.net)</v>
      </c>
      <c r="D164" t="s">
        <v>347</v>
      </c>
    </row>
    <row r="165" spans="1:5" x14ac:dyDescent="0.2">
      <c r="A165" t="str">
        <f>HYPERLINK("http://nekit.sytes.net/files", "http://nekit.sytes.net/files")</f>
        <v>http://nekit.sytes.net/files</v>
      </c>
      <c r="B165" t="s">
        <v>5</v>
      </c>
      <c r="C165" t="str">
        <f>HYPERLINK("https://www.reddit.com/r/opendirectories/comments/7no1f6", "[TV][1080p][MP4] Steven Universe 2013 Seasons 1-4")</f>
        <v>[TV][1080p][MP4] Steven Universe 2013 Seasons 1-4</v>
      </c>
      <c r="D165" t="s">
        <v>348</v>
      </c>
    </row>
    <row r="166" spans="1:5" x14ac:dyDescent="0.2">
      <c r="A166" t="str">
        <f>HYPERLINK("https://www.vgmusic.com/music/console", "https://www.vgmusic.com/music/console")</f>
        <v>https://www.vgmusic.com/music/console</v>
      </c>
      <c r="B166" t="s">
        <v>5</v>
      </c>
      <c r="C166" t="str">
        <f>HYPERLINK("https://www.reddit.com/r/opendirectories/comments/7ldubj", "Video game music(vgm) all consoles")</f>
        <v>Video game music(vgm) all consoles</v>
      </c>
      <c r="D166" t="s">
        <v>349</v>
      </c>
    </row>
    <row r="167" spans="1:5" x14ac:dyDescent="0.2">
      <c r="A167" t="str">
        <f>HYPERLINK("http://thumbnails.libretro.com", "http://thumbnails.libretro.com")</f>
        <v>http://thumbnails.libretro.com</v>
      </c>
      <c r="B167" t="s">
        <v>5</v>
      </c>
      <c r="C167" t="str">
        <f>HYPERLINK("https://www.reddit.com/r/opendirectories/comments/7icwef", "An impressive collection of retro Video Game box art and snapshots. (90+ Platforms. 1000s of Images.)")</f>
        <v>An impressive collection of retro Video Game box art and snapshots. (90+ Platforms. 1000s of Images.)</v>
      </c>
      <c r="D167" t="s">
        <v>181</v>
      </c>
    </row>
    <row r="168" spans="1:5" x14ac:dyDescent="0.2">
      <c r="A168" t="str">
        <f>HYPERLINK("http://frontiernet.net/~mardenz", "http://frontiernet.net/~mardenz")</f>
        <v>http://frontiernet.net/~mardenz</v>
      </c>
      <c r="B168" t="s">
        <v>5</v>
      </c>
      <c r="C168" t="str">
        <f>HYPERLINK("https://www.reddit.com/r/opendirectories/comments/79s2px", "A bunch of kids cartoon vector pictures as .svg files. I orginally thought was video, is not.")</f>
        <v>A bunch of kids cartoon vector pictures as .svg files. I orginally thought was video, is not.</v>
      </c>
      <c r="D168" t="s">
        <v>350</v>
      </c>
    </row>
    <row r="169" spans="1:5" x14ac:dyDescent="0.2">
      <c r="A169" t="str">
        <f>HYPERLINK("http://www.alpha-ii.com/Download/Main.html", "http://www.alpha-ii.com/Download/Main.html")</f>
        <v>http://www.alpha-ii.com/Download/Main.html</v>
      </c>
      <c r="B169" t="s">
        <v>5</v>
      </c>
      <c r="C169" t="str">
        <f>HYPERLINK("https://www.reddit.com/r/opendirectories/comments/74iych", "The Chiptune/Game Music Open Directory Archive List")</f>
        <v>The Chiptune/Game Music Open Directory Archive List</v>
      </c>
      <c r="D169" t="s">
        <v>351</v>
      </c>
    </row>
    <row r="170" spans="1:5" x14ac:dyDescent="0.2">
      <c r="A170" t="str">
        <f>HYPERLINK("https://www.hcs64.com/usf", "https://www.hcs64.com/usf")</f>
        <v>https://www.hcs64.com/usf</v>
      </c>
      <c r="B170" t="s">
        <v>5</v>
      </c>
      <c r="C170" t="str">
        <f>HYPERLINK("https://www.reddit.com/r/opendirectories/comments/74iych", "The Chiptune/Game Music Open Directory Archive List")</f>
        <v>The Chiptune/Game Music Open Directory Archive List</v>
      </c>
      <c r="D170" t="s">
        <v>351</v>
      </c>
    </row>
    <row r="171" spans="1:5" x14ac:dyDescent="0.2">
      <c r="A171" t="str">
        <f>HYPERLINK("http://marla-isp.ludost.net", "http://marla-isp.ludost.net")</f>
        <v>http://marla-isp.ludost.net</v>
      </c>
      <c r="B171" t="s">
        <v>5</v>
      </c>
      <c r="C171" t="str">
        <f>HYPERLINK("https://www.reddit.com/r/opendirectories/comments/51y38z", "Nice collection of subbed anime ... Mostly SFW")</f>
        <v>Nice collection of subbed anime ... Mostly SFW</v>
      </c>
      <c r="D171" t="s">
        <v>352</v>
      </c>
    </row>
    <row r="172" spans="1:5" x14ac:dyDescent="0.2">
      <c r="A172" t="str">
        <f>HYPERLINK("http://the-sinner.net/download", "http://the-sinner.net/download")</f>
        <v>http://the-sinner.net/download</v>
      </c>
      <c r="B172" t="s">
        <v>5</v>
      </c>
      <c r="C172" t="str">
        <f>HYPERLINK("https://www.reddit.com/r/opendirectories/comments/5s7vpy", "A mixed bag of books , images and videos , mostly Russian folder names but very interesting stuff.")</f>
        <v>A mixed bag of books , images and videos , mostly Russian folder names but very interesting stuff.</v>
      </c>
      <c r="D172" t="s">
        <v>353</v>
      </c>
      <c r="E172" t="s">
        <v>8</v>
      </c>
    </row>
    <row r="173" spans="1:5" x14ac:dyDescent="0.2">
      <c r="A173" t="str">
        <f>HYPERLINK("http://www.vgmusic.com/music/console", "http://www.vgmusic.com/music/console")</f>
        <v>http://www.vgmusic.com/music/console</v>
      </c>
      <c r="B173" t="s">
        <v>5</v>
      </c>
      <c r="C173" t="str">
        <f>HYPERLINK("https://www.reddit.com/r/opendirectories/comments/4sq03n", "Huge collection of midi files of video game music from every console under the sun")</f>
        <v>Huge collection of midi files of video game music from every console under the sun</v>
      </c>
      <c r="D173" t="s">
        <v>354</v>
      </c>
    </row>
    <row r="174" spans="1:5" x14ac:dyDescent="0.2">
      <c r="A174" t="str">
        <f>HYPERLINK("http://federaljack.com/mindcontrol", "http://federaljack.com/mindcontrol")</f>
        <v>http://federaljack.com/mindcontrol</v>
      </c>
      <c r="B174" t="s">
        <v>5</v>
      </c>
      <c r="C174" t="str">
        <f>HYPERLINK("https://www.reddit.com/r/opendirectories/comments/4cqf65", "Videos, audio and books on.. Mind control!")</f>
        <v>Videos, audio and books on.. Mind control!</v>
      </c>
      <c r="D174" t="s">
        <v>355</v>
      </c>
    </row>
    <row r="175" spans="1:5" x14ac:dyDescent="0.2">
      <c r="A175" t="str">
        <f>HYPERLINK("http://peliculator.com/torrents/subs", "http://peliculator.com/torrents/subs")</f>
        <v>http://peliculator.com/torrents/subs</v>
      </c>
      <c r="B175" t="s">
        <v>5</v>
      </c>
      <c r="C175" t="str">
        <f>HYPERLINK("https://www.reddit.com/r/opendirectories/comments/4bzwfv", "English subtitles to a bunch of movies")</f>
        <v>English subtitles to a bunch of movies</v>
      </c>
      <c r="D175" t="s">
        <v>356</v>
      </c>
      <c r="E175" t="s">
        <v>14</v>
      </c>
    </row>
    <row r="176" spans="1:5" x14ac:dyDescent="0.2">
      <c r="A176" t="str">
        <f>HYPERLINK("http://www.protoman.com", "http://www.protoman.com")</f>
        <v>http://www.protoman.com</v>
      </c>
      <c r="B176" t="s">
        <v>5</v>
      </c>
      <c r="C176" t="str">
        <f>HYPERLINK("https://www.reddit.com/r/opendirectories/comments/3eyi0g", "Video game music and soundtracks in various formats.")</f>
        <v>Video game music and soundtracks in various formats.</v>
      </c>
      <c r="D176" t="s">
        <v>357</v>
      </c>
    </row>
    <row r="177" spans="1:5" x14ac:dyDescent="0.2">
      <c r="A177" t="str">
        <f>HYPERLINK("http://ranger.befunk.com", "http://ranger.befunk.com")</f>
        <v>http://ranger.befunk.com</v>
      </c>
      <c r="B177" t="s">
        <v>5</v>
      </c>
      <c r="C177" t="str">
        <f>HYPERLINK("https://www.reddit.com/r/opendirectories/comments/3lm4gy", "/u/wearehidden's directory dump (with more organization / info)")</f>
        <v>/u/wearehidden's directory dump (with more organization / info)</v>
      </c>
      <c r="D177" t="s">
        <v>358</v>
      </c>
      <c r="E177" t="s">
        <v>359</v>
      </c>
    </row>
    <row r="178" spans="1:5" x14ac:dyDescent="0.2">
      <c r="A178" t="str">
        <f>HYPERLINK("http://propaganda.plan9.de", "http://propaganda.plan9.de")</f>
        <v>http://propaganda.plan9.de</v>
      </c>
      <c r="B178" t="s">
        <v>5</v>
      </c>
      <c r="D178" t="s">
        <v>241</v>
      </c>
    </row>
    <row r="179" spans="1:5" x14ac:dyDescent="0.2">
      <c r="A179" t="str">
        <f>HYPERLINK("http://www.defacto2.net", "http://www.defacto2.net")</f>
        <v>http://www.defacto2.net</v>
      </c>
      <c r="B179" t="s">
        <v>5</v>
      </c>
      <c r="C179" t="str">
        <f>HYPERLINK("https://www.reddit.com/r/opendirectories/comments/2ol0ts", "What are some tools to view videos/mp3/pdf files present in open directories before downloading?")</f>
        <v>What are some tools to view videos/mp3/pdf files present in open directories before downloading?</v>
      </c>
      <c r="D179" t="s">
        <v>360</v>
      </c>
      <c r="E179" t="s">
        <v>14</v>
      </c>
    </row>
  </sheetData>
  <pageMargins left="0.75" right="0.75" top="1" bottom="1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06"/>
  <sheetViews>
    <sheetView zoomScaleNormal="100" workbookViewId="0">
      <selection activeCell="A19" sqref="A19"/>
    </sheetView>
  </sheetViews>
  <sheetFormatPr baseColWidth="10" defaultColWidth="8.83203125" defaultRowHeight="15" x14ac:dyDescent="0.2"/>
  <cols>
    <col min="1" max="1" width="50" customWidth="1"/>
    <col min="3" max="3" width="80" customWidth="1"/>
    <col min="4" max="4" width="11" customWidth="1"/>
    <col min="5" max="5" width="80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tr">
        <f>HYPERLINK("http://tajmovie.ir", "http://tajmovie.ir")</f>
        <v>http://tajmovie.ir</v>
      </c>
      <c r="B2" t="s">
        <v>5</v>
      </c>
      <c r="C2" t="str">
        <f>HYPERLINK("https://www.reddit.com/r/opendirectories/comments/ppvwry", "A few Movies &amp;amp; Series")</f>
        <v>A few Movies &amp;amp; Series</v>
      </c>
      <c r="D2" t="s">
        <v>361</v>
      </c>
    </row>
    <row r="3" spans="1:5" x14ac:dyDescent="0.2">
      <c r="A3" t="str">
        <f>HYPERLINK("http://ingar.intranifty.net", "http://ingar.intranifty.net")</f>
        <v>http://ingar.intranifty.net</v>
      </c>
      <c r="B3" t="s">
        <v>5</v>
      </c>
      <c r="C3" t="str">
        <f t="shared" ref="C3:C11" si="0">HYPERLINK("https://www.reddit.com/r/opendirectories/comments/pp71gr", "2021-09-16 Daily post")</f>
        <v>2021-09-16 Daily post</v>
      </c>
      <c r="D3" t="s">
        <v>7</v>
      </c>
    </row>
    <row r="4" spans="1:5" x14ac:dyDescent="0.2">
      <c r="A4" t="str">
        <f>HYPERLINK("http://www.huzheng.org", "http://www.huzheng.org")</f>
        <v>http://www.huzheng.org</v>
      </c>
      <c r="B4" t="s">
        <v>5</v>
      </c>
      <c r="C4" t="str">
        <f t="shared" si="0"/>
        <v>2021-09-16 Daily post</v>
      </c>
      <c r="D4" t="s">
        <v>7</v>
      </c>
    </row>
    <row r="5" spans="1:5" x14ac:dyDescent="0.2">
      <c r="A5" t="str">
        <f>HYPERLINK("http://markburgess.org/music", "http://markburgess.org/music")</f>
        <v>http://markburgess.org/music</v>
      </c>
      <c r="B5" t="s">
        <v>5</v>
      </c>
      <c r="C5" t="str">
        <f t="shared" si="0"/>
        <v>2021-09-16 Daily post</v>
      </c>
      <c r="D5" t="s">
        <v>7</v>
      </c>
    </row>
    <row r="6" spans="1:5" x14ac:dyDescent="0.2">
      <c r="A6" t="str">
        <f>HYPERLINK("https://www.backtracking-music.de/uranus", "https://www.backtracking-music.de/uranus")</f>
        <v>https://www.backtracking-music.de/uranus</v>
      </c>
      <c r="B6" t="s">
        <v>5</v>
      </c>
      <c r="C6" t="str">
        <f t="shared" si="0"/>
        <v>2021-09-16 Daily post</v>
      </c>
      <c r="D6" t="s">
        <v>7</v>
      </c>
    </row>
    <row r="7" spans="1:5" x14ac:dyDescent="0.2">
      <c r="A7" t="str">
        <f>HYPERLINK("https://musicinsideout.wwno.org/audio", "https://musicinsideout.wwno.org/audio")</f>
        <v>https://musicinsideout.wwno.org/audio</v>
      </c>
      <c r="B7" t="s">
        <v>5</v>
      </c>
      <c r="C7" t="str">
        <f t="shared" si="0"/>
        <v>2021-09-16 Daily post</v>
      </c>
      <c r="D7" t="s">
        <v>7</v>
      </c>
    </row>
    <row r="8" spans="1:5" x14ac:dyDescent="0.2">
      <c r="A8" t="str">
        <f>HYPERLINK("https://music.maxton.xyz/tracks", "https://music.maxton.xyz/tracks")</f>
        <v>https://music.maxton.xyz/tracks</v>
      </c>
      <c r="B8" t="s">
        <v>5</v>
      </c>
      <c r="C8" t="str">
        <f t="shared" si="0"/>
        <v>2021-09-16 Daily post</v>
      </c>
      <c r="D8" t="s">
        <v>7</v>
      </c>
    </row>
    <row r="9" spans="1:5" x14ac:dyDescent="0.2">
      <c r="A9" t="str">
        <f>HYPERLINK("http://scipp.ucsc.edu/~profumo/misc", "http://scipp.ucsc.edu/~profumo/misc")</f>
        <v>http://scipp.ucsc.edu/~profumo/misc</v>
      </c>
      <c r="B9" t="s">
        <v>5</v>
      </c>
      <c r="C9" t="str">
        <f t="shared" si="0"/>
        <v>2021-09-16 Daily post</v>
      </c>
      <c r="D9" t="s">
        <v>7</v>
      </c>
    </row>
    <row r="10" spans="1:5" x14ac:dyDescent="0.2">
      <c r="A10" t="str">
        <f>HYPERLINK("https://people.duke.edu/~ajk17", "https://people.duke.edu/~ajk17")</f>
        <v>https://people.duke.edu/~ajk17</v>
      </c>
      <c r="B10" t="s">
        <v>5</v>
      </c>
      <c r="C10" t="str">
        <f t="shared" si="0"/>
        <v>2021-09-16 Daily post</v>
      </c>
      <c r="D10" t="s">
        <v>7</v>
      </c>
    </row>
    <row r="11" spans="1:5" x14ac:dyDescent="0.2">
      <c r="A11" t="str">
        <f>HYPERLINK("http://socialdance.stanford.edu/music", "http://socialdance.stanford.edu/music")</f>
        <v>http://socialdance.stanford.edu/music</v>
      </c>
      <c r="B11" t="s">
        <v>5</v>
      </c>
      <c r="C11" t="str">
        <f t="shared" si="0"/>
        <v>2021-09-16 Daily post</v>
      </c>
      <c r="D11" t="s">
        <v>7</v>
      </c>
    </row>
    <row r="12" spans="1:5" x14ac:dyDescent="0.2">
      <c r="A12" t="str">
        <f>HYPERLINK("http://miya.nipah.moe:81/public", "http://miya.nipah.moe:81/public")</f>
        <v>http://miya.nipah.moe:81/public</v>
      </c>
      <c r="B12" t="s">
        <v>5</v>
      </c>
      <c r="C12" t="str">
        <f>HYPERLINK("https://www.reddit.com/r/opendirectories/comments/pnwdql", "Osu! Maps, Manga, Anime, Music and more. Small variety of JP stuff.")</f>
        <v>Osu! Maps, Manga, Anime, Music and more. Small variety of JP stuff.</v>
      </c>
      <c r="D12" t="s">
        <v>362</v>
      </c>
      <c r="E12" t="s">
        <v>63</v>
      </c>
    </row>
    <row r="13" spans="1:5" x14ac:dyDescent="0.2">
      <c r="A13" t="str">
        <f>HYPERLINK("https://stagatvfiles.com/media/videos", "https://stagatvfiles.com/media/videos")</f>
        <v>https://stagatvfiles.com/media/videos</v>
      </c>
      <c r="B13" t="s">
        <v>5</v>
      </c>
      <c r="C13" t="str">
        <f>HYPERLINK("https://www.reddit.com/r/opendirectories/comments/pl8euq", "Large selection of unsorted TVShows, some Movies, various sizes/resolutions")</f>
        <v>Large selection of unsorted TVShows, some Movies, various sizes/resolutions</v>
      </c>
      <c r="D13" t="s">
        <v>261</v>
      </c>
    </row>
    <row r="14" spans="1:5" x14ac:dyDescent="0.2">
      <c r="A14" t="str">
        <f>HYPERLINK("http://open.m4trade.ru", "http://open.m4trade.ru")</f>
        <v>http://open.m4trade.ru</v>
      </c>
      <c r="B14" t="s">
        <v>5</v>
      </c>
      <c r="C14" t="str">
        <f>HYPERLINK("https://www.reddit.com/r/opendirectories/comments/ph5thp", "movies/music/ebooks/audiobooks (some English, some Russian)")</f>
        <v>movies/music/ebooks/audiobooks (some English, some Russian)</v>
      </c>
      <c r="D14" t="s">
        <v>363</v>
      </c>
      <c r="E14" t="s">
        <v>156</v>
      </c>
    </row>
    <row r="15" spans="1:5" x14ac:dyDescent="0.2">
      <c r="A15" t="str">
        <f>HYPERLINK("https://hakase.lilprincess.xyz/storage", "https://hakase.lilprincess.xyz/storage")</f>
        <v>https://hakase.lilprincess.xyz/storage</v>
      </c>
      <c r="B15" t="s">
        <v>5</v>
      </c>
      <c r="C15" t="str">
        <f>HYPERLINK("https://www.reddit.com/r/opendirectories/comments/owjba3", "[NSFW] Music Videos, Music, TV Shows, Android Apps, OnlyFans Rips")</f>
        <v>[NSFW] Music Videos, Music, TV Shows, Android Apps, OnlyFans Rips</v>
      </c>
      <c r="D15" t="s">
        <v>18</v>
      </c>
    </row>
    <row r="16" spans="1:5" x14ac:dyDescent="0.2">
      <c r="A16" t="str">
        <f>HYPERLINK("http://5.196.72.204", "http://5.196.72.204")</f>
        <v>http://5.196.72.204</v>
      </c>
      <c r="B16" t="s">
        <v>5</v>
      </c>
      <c r="C16" t="str">
        <f>HYPERLINK("https://www.reddit.com/r/opendirectories/comments/pg8low", "French Music/TV/Movies and other misc items")</f>
        <v>French Music/TV/Movies and other misc items</v>
      </c>
      <c r="D16" t="s">
        <v>364</v>
      </c>
      <c r="E16" t="s">
        <v>51</v>
      </c>
    </row>
    <row r="17" spans="1:5" x14ac:dyDescent="0.2">
      <c r="A17" t="str">
        <f>HYPERLINK("http://fina.dyndns.tv", "http://fina.dyndns.tv")</f>
        <v>http://fina.dyndns.tv</v>
      </c>
      <c r="B17" t="s">
        <v>5</v>
      </c>
      <c r="C17" t="str">
        <f>HYPERLINK("https://www.reddit.com/r/opendirectories/comments/gsl3t5", "Few Series")</f>
        <v>Few Series</v>
      </c>
      <c r="D17" t="s">
        <v>262</v>
      </c>
      <c r="E17" t="s">
        <v>263</v>
      </c>
    </row>
    <row r="18" spans="1:5" x14ac:dyDescent="0.2">
      <c r="A18" t="str">
        <f>HYPERLINK("http://144.217.177.36:4742", "http://144.217.177.36:4742")</f>
        <v>http://144.217.177.36:4742</v>
      </c>
      <c r="B18" t="s">
        <v>5</v>
      </c>
      <c r="C18" t="str">
        <f>HYPERLINK("https://www.reddit.com/r/opendirectories/comments/kwctmn", "Movies/TV/Anime/Apps/Audiobooks/Ebooks/Games/Movies/Music -- Something for everyone!!")</f>
        <v>Movies/TV/Anime/Apps/Audiobooks/Ebooks/Games/Movies/Music -- Something for everyone!!</v>
      </c>
      <c r="D18" t="s">
        <v>365</v>
      </c>
    </row>
    <row r="19" spans="1:5" x14ac:dyDescent="0.2">
      <c r="A19" t="str">
        <f>HYPERLINK("http://144.76.82.6:8090", "http://144.76.82.6:8090")</f>
        <v>http://144.76.82.6:8090</v>
      </c>
      <c r="B19" t="s">
        <v>5</v>
      </c>
      <c r="C19" t="str">
        <f>HYPERLINK("https://www.reddit.com/r/opendirectories/comments/oxqa3c", "games, books, movies and Japanese cartoons")</f>
        <v>games, books, movies and Japanese cartoons</v>
      </c>
      <c r="D19" t="s">
        <v>17</v>
      </c>
      <c r="E19" t="s">
        <v>63</v>
      </c>
    </row>
    <row r="20" spans="1:5" x14ac:dyDescent="0.2">
      <c r="A20" t="str">
        <f>HYPERLINK("http://87.89.227.77", "http://87.89.227.77")</f>
        <v>http://87.89.227.77</v>
      </c>
      <c r="B20" t="s">
        <v>5</v>
      </c>
      <c r="C20" t="str">
        <f>HYPERLINK("https://www.reddit.com/r/opendirectories/comments/owjf7x", "Ebooks, Windows Games, TV Shows, Movies")</f>
        <v>Ebooks, Windows Games, TV Shows, Movies</v>
      </c>
      <c r="D20" t="s">
        <v>18</v>
      </c>
    </row>
    <row r="21" spans="1:5" x14ac:dyDescent="0.2">
      <c r="A21" t="str">
        <f>HYPERLINK("https://backup.kjeks.io/Screenshots", "https://backup.kjeks.io/Screenshots")</f>
        <v>https://backup.kjeks.io/Screenshots</v>
      </c>
      <c r="B21" t="s">
        <v>5</v>
      </c>
      <c r="C21" t="str">
        <f>HYPERLINK("https://www.reddit.com/r/opendirectories/comments/owjd6u", "Ebooks, Movies, OS ISOs, CCNA resources, Windows Apps/Games")</f>
        <v>Ebooks, Movies, OS ISOs, CCNA resources, Windows Apps/Games</v>
      </c>
      <c r="D21" t="s">
        <v>18</v>
      </c>
    </row>
    <row r="22" spans="1:5" x14ac:dyDescent="0.2">
      <c r="A22" t="str">
        <f>HYPERLINK("http://dl2.parsmovies.net", "http://dl2.parsmovies.net")</f>
        <v>http://dl2.parsmovies.net</v>
      </c>
      <c r="B22" t="s">
        <v>5</v>
      </c>
      <c r="C22" t="str">
        <f>HYPERLINK("https://www.reddit.com/r/opendirectories/comments/owj8cy", "TV Shows &amp;amp; Movies")</f>
        <v>TV Shows &amp;amp; Movies</v>
      </c>
      <c r="D22" t="s">
        <v>18</v>
      </c>
    </row>
    <row r="23" spans="1:5" x14ac:dyDescent="0.2">
      <c r="A23" t="str">
        <f>HYPERLINK("http://201.172.61.81:82", "http://201.172.61.81:82")</f>
        <v>http://201.172.61.81:82</v>
      </c>
      <c r="B23" t="s">
        <v>5</v>
      </c>
      <c r="C23" t="str">
        <f>HYPERLINK("https://www.reddit.com/r/opendirectories/comments/owj6kn", "Movies &amp;amp; TV Shows")</f>
        <v>Movies &amp;amp; TV Shows</v>
      </c>
      <c r="D23" t="s">
        <v>18</v>
      </c>
    </row>
    <row r="24" spans="1:5" x14ac:dyDescent="0.2">
      <c r="A24" t="str">
        <f>HYPERLINK("https://s1.my-film.pw", "https://s1.my-film.pw")</f>
        <v>https://s1.my-film.pw</v>
      </c>
      <c r="B24" t="s">
        <v>5</v>
      </c>
      <c r="C24" t="str">
        <f>HYPERLINK("https://www.reddit.com/r/opendirectories/comments/owj5uz", "Movies, Music, TV Shows")</f>
        <v>Movies, Music, TV Shows</v>
      </c>
      <c r="D24" t="s">
        <v>18</v>
      </c>
    </row>
    <row r="25" spans="1:5" x14ac:dyDescent="0.2">
      <c r="A25" t="str">
        <f>HYPERLINK("https://storage.kanzaki.ru", "https://storage.kanzaki.ru")</f>
        <v>https://storage.kanzaki.ru</v>
      </c>
      <c r="B25" t="s">
        <v>5</v>
      </c>
      <c r="C25" t="str">
        <f>HYPERLINK("https://www.reddit.com/r/opendirectories/comments/nusea4", "Lots of anime")</f>
        <v>Lots of anime</v>
      </c>
      <c r="D25" t="s">
        <v>366</v>
      </c>
      <c r="E25" t="s">
        <v>367</v>
      </c>
    </row>
    <row r="26" spans="1:5" x14ac:dyDescent="0.2">
      <c r="A26" t="str">
        <f>HYPERLINK("https://files.cbps.xyz", "https://files.cbps.xyz")</f>
        <v>https://files.cbps.xyz</v>
      </c>
      <c r="B26" t="s">
        <v>5</v>
      </c>
      <c r="C26" t="str">
        <f>HYPERLINK("https://www.reddit.com/r/opendirectories/comments/outx0s", "ISOs, ROMs, Anime, Clickbait Videos, IPod tools")</f>
        <v>ISOs, ROMs, Anime, Clickbait Videos, IPod tools</v>
      </c>
      <c r="D26" t="s">
        <v>19</v>
      </c>
    </row>
    <row r="27" spans="1:5" x14ac:dyDescent="0.2">
      <c r="A27" t="str">
        <f>HYPERLINK("http://93.187.200.64", "http://93.187.200.64")</f>
        <v>http://93.187.200.64</v>
      </c>
      <c r="B27" t="s">
        <v>5</v>
      </c>
      <c r="C27" t="str">
        <f>HYPERLINK("https://www.reddit.com/r/opendirectories/comments/jru1jr", "Movies/Series in English - Part 6")</f>
        <v>Movies/Series in English - Part 6</v>
      </c>
      <c r="D27" t="s">
        <v>368</v>
      </c>
      <c r="E27" t="s">
        <v>14</v>
      </c>
    </row>
    <row r="28" spans="1:5" x14ac:dyDescent="0.2">
      <c r="A28" t="str">
        <f>HYPERLINK("http://85.17.156.33", "http://85.17.156.33")</f>
        <v>http://85.17.156.33</v>
      </c>
      <c r="B28" t="s">
        <v>5</v>
      </c>
      <c r="C28" t="str">
        <f>HYPERLINK("https://www.reddit.com/r/opendirectories/comments/oumyj3", "Windows Games, Movies, TV Shows, &amp;amp; Music")</f>
        <v>Windows Games, Movies, TV Shows, &amp;amp; Music</v>
      </c>
      <c r="D28" t="s">
        <v>19</v>
      </c>
    </row>
    <row r="29" spans="1:5" x14ac:dyDescent="0.2">
      <c r="A29" t="str">
        <f>HYPERLINK("https://dl5.win2farsi.com", "https://dl5.win2farsi.com")</f>
        <v>https://dl5.win2farsi.com</v>
      </c>
      <c r="B29" t="s">
        <v>5</v>
      </c>
      <c r="C29" t="str">
        <f>HYPERLINK("https://www.reddit.com/r/opendirectories/comments/oumosf", "Windows Apps, Games, Movies, TV Shows")</f>
        <v>Windows Apps, Games, Movies, TV Shows</v>
      </c>
      <c r="D29" t="s">
        <v>19</v>
      </c>
    </row>
    <row r="30" spans="1:5" x14ac:dyDescent="0.2">
      <c r="A30" t="str">
        <f>HYPERLINK("https://www.sohaibxtreme.net/FDL", "https://www.sohaibxtreme.net/FDL")</f>
        <v>https://www.sohaibxtreme.net/FDL</v>
      </c>
      <c r="B30" t="s">
        <v>5</v>
      </c>
      <c r="C30" t="str">
        <f>HYPERLINK("https://www.reddit.com/r/opendirectories/comments/oumka4", "Windows Games (Cracks Only), Apps, and Movies")</f>
        <v>Windows Games (Cracks Only), Apps, and Movies</v>
      </c>
      <c r="D30" t="s">
        <v>19</v>
      </c>
    </row>
    <row r="31" spans="1:5" x14ac:dyDescent="0.2">
      <c r="A31" t="str">
        <f>HYPERLINK("http://76.242.29.107", "http://76.242.29.107")</f>
        <v>http://76.242.29.107</v>
      </c>
      <c r="B31" t="s">
        <v>5</v>
      </c>
      <c r="C31" t="str">
        <f>HYPERLINK("https://www.reddit.com/r/opendirectories/comments/ou695k", "Apps, Games, Movies, Anime, TV Shows, etc")</f>
        <v>Apps, Games, Movies, Anime, TV Shows, etc</v>
      </c>
      <c r="D31" t="s">
        <v>20</v>
      </c>
    </row>
    <row r="32" spans="1:5" x14ac:dyDescent="0.2">
      <c r="A32" t="str">
        <f>HYPERLINK("http://www.watt-up.com/j_gallery", "http://www.watt-up.com/j_gallery")</f>
        <v>http://www.watt-up.com/j_gallery</v>
      </c>
      <c r="B32" t="s">
        <v>5</v>
      </c>
      <c r="C32" t="str">
        <f>HYPERLINK("https://www.reddit.com/r/opendirectories/comments/otew2c", "[NSFW] Disturbingly large amount of NSFW Celeb images/movies")</f>
        <v>[NSFW] Disturbingly large amount of NSFW Celeb images/movies</v>
      </c>
      <c r="D32" t="s">
        <v>21</v>
      </c>
    </row>
    <row r="33" spans="1:5" x14ac:dyDescent="0.2">
      <c r="A33" t="str">
        <f>HYPERLINK("http://138.201.193.243/nnew", "http://138.201.193.243/nnew")</f>
        <v>http://138.201.193.243/nnew</v>
      </c>
      <c r="B33" t="s">
        <v>5</v>
      </c>
      <c r="C33" t="str">
        <f>HYPERLINK("https://www.reddit.com/r/opendirectories/comments/otcdmq", "Movies (Terrible Quality)")</f>
        <v>Movies (Terrible Quality)</v>
      </c>
      <c r="D33" t="s">
        <v>21</v>
      </c>
    </row>
    <row r="34" spans="1:5" x14ac:dyDescent="0.2">
      <c r="A34" t="str">
        <f>HYPERLINK("http://casabasel.webhop.me:12000/tedesco", "http://casabasel.webhop.me:12000/tedesco")</f>
        <v>http://casabasel.webhop.me:12000/tedesco</v>
      </c>
      <c r="B34" t="s">
        <v>5</v>
      </c>
      <c r="C34" t="str">
        <f>HYPERLINK("https://www.reddit.com/r/opendirectories/comments/otc2cz", "Movies/TV Shows (Mostly German)")</f>
        <v>Movies/TV Shows (Mostly German)</v>
      </c>
      <c r="D34" t="s">
        <v>21</v>
      </c>
      <c r="E34" t="s">
        <v>186</v>
      </c>
    </row>
    <row r="35" spans="1:5" x14ac:dyDescent="0.2">
      <c r="A35" t="str">
        <f>HYPERLINK("https://brisbane2.hopto.org", "https://brisbane2.hopto.org")</f>
        <v>https://brisbane2.hopto.org</v>
      </c>
      <c r="B35" t="s">
        <v>5</v>
      </c>
      <c r="C35" t="str">
        <f>HYPERLINK("https://www.reddit.com/r/opendirectories/comments/otb43f", "Movies")</f>
        <v>Movies</v>
      </c>
      <c r="D35" t="s">
        <v>21</v>
      </c>
    </row>
    <row r="36" spans="1:5" x14ac:dyDescent="0.2">
      <c r="A36" t="str">
        <f>HYPERLINK("http://103.156.66.58", "http://103.156.66.58")</f>
        <v>http://103.156.66.58</v>
      </c>
      <c r="B36" t="s">
        <v>5</v>
      </c>
      <c r="C36" t="str">
        <f>HYPERLINK("https://www.reddit.com/r/opendirectories/comments/nsh9j0", "Media")</f>
        <v>Media</v>
      </c>
      <c r="D36" t="s">
        <v>269</v>
      </c>
    </row>
    <row r="37" spans="1:5" x14ac:dyDescent="0.2">
      <c r="A37" t="str">
        <f>HYPERLINK("http://172.90.170.157:4321", "http://172.90.170.157:4321")</f>
        <v>http://172.90.170.157:4321</v>
      </c>
      <c r="B37" t="s">
        <v>5</v>
      </c>
      <c r="C37" t="str">
        <f>HYPERLINK("https://www.reddit.com/r/opendirectories/comments/oiglde", "One ENNNNGLISH post per day ... 1/?")</f>
        <v>One ENNNNGLISH post per day ... 1/?</v>
      </c>
      <c r="D37" t="s">
        <v>369</v>
      </c>
    </row>
    <row r="38" spans="1:5" x14ac:dyDescent="0.2">
      <c r="A38" t="str">
        <f>HYPERLINK("https://www.nps.gov/av", "https://www.nps.gov/av")</f>
        <v>https://www.nps.gov/av</v>
      </c>
      <c r="B38" t="s">
        <v>5</v>
      </c>
      <c r="C38" t="str">
        <f>HYPERLINK("https://www.reddit.com/r/opendirectories/comments/oi4spb", "Quite a bit of NPS mulimedia")</f>
        <v>Quite a bit of NPS mulimedia</v>
      </c>
      <c r="D38" t="s">
        <v>370</v>
      </c>
    </row>
    <row r="39" spans="1:5" x14ac:dyDescent="0.2">
      <c r="A39" t="str">
        <f>HYPERLINK("https://tartarus.feralhosting.com/firepig", "https://tartarus.feralhosting.com/firepig")</f>
        <v>https://tartarus.feralhosting.com/firepig</v>
      </c>
      <c r="B39" t="s">
        <v>5</v>
      </c>
      <c r="D39" t="s">
        <v>265</v>
      </c>
    </row>
    <row r="40" spans="1:5" x14ac:dyDescent="0.2">
      <c r="A40" t="str">
        <f>HYPERLINK("http://slonik.dasiu.pl", "http://slonik.dasiu.pl")</f>
        <v>http://slonik.dasiu.pl</v>
      </c>
      <c r="B40" t="s">
        <v>5</v>
      </c>
      <c r="C40" t="str">
        <f>HYPERLINK("https://www.reddit.com/r/opendirectories/comments/ob9zn7", "A few movies")</f>
        <v>A few movies</v>
      </c>
      <c r="D40" t="s">
        <v>371</v>
      </c>
    </row>
    <row r="41" spans="1:5" x14ac:dyDescent="0.2">
      <c r="A41" t="str">
        <f>HYPERLINK("https://www.welovedogs.jp/movie", "https://www.welovedogs.jp/movie")</f>
        <v>https://www.welovedogs.jp/movie</v>
      </c>
      <c r="B41" t="s">
        <v>5</v>
      </c>
      <c r="C41" t="str">
        <f>HYPERLINK("https://www.reddit.com/r/opendirectories/comments/ob7clx", "Japanese resort for dogs??? lol")</f>
        <v>Japanese resort for dogs??? lol</v>
      </c>
      <c r="D41" t="s">
        <v>372</v>
      </c>
      <c r="E41" t="s">
        <v>63</v>
      </c>
    </row>
    <row r="42" spans="1:5" x14ac:dyDescent="0.2">
      <c r="A42" t="str">
        <f>HYPERLINK("http://173.249.45.226", "http://173.249.45.226")</f>
        <v>http://173.249.45.226</v>
      </c>
      <c r="B42" t="s">
        <v>5</v>
      </c>
      <c r="C42" t="str">
        <f>HYPERLINK("https://www.reddit.com/r/opendirectories/comments/jsa626", "JAV Galore, Hentai, Amat, ...")</f>
        <v>JAV Galore, Hentai, Amat, ...</v>
      </c>
      <c r="D42" t="s">
        <v>266</v>
      </c>
    </row>
    <row r="43" spans="1:5" x14ac:dyDescent="0.2">
      <c r="A43" t="str">
        <f>HYPERLINK("http://135.181.113.216:9000", "http://135.181.113.216:9000")</f>
        <v>http://135.181.113.216:9000</v>
      </c>
      <c r="B43" t="s">
        <v>5</v>
      </c>
      <c r="C43" t="str">
        <f>HYPERLINK("https://www.reddit.com/r/opendirectories/comments/o5n7qj", "Movies, tvshows, music, anime and ebooks")</f>
        <v>Movies, tvshows, music, anime and ebooks</v>
      </c>
      <c r="D43" t="s">
        <v>268</v>
      </c>
      <c r="E43" t="s">
        <v>14</v>
      </c>
    </row>
    <row r="44" spans="1:5" x14ac:dyDescent="0.2">
      <c r="A44" t="str">
        <f>HYPERLINK("http://124.29.199.194", "http://124.29.199.194")</f>
        <v>http://124.29.199.194</v>
      </c>
      <c r="B44" t="s">
        <v>5</v>
      </c>
      <c r="C44" t="str">
        <f>HYPERLINK("https://www.reddit.com/r/opendirectories/comments/lu4ejy", "Whole Bunch of Movies!")</f>
        <v>Whole Bunch of Movies!</v>
      </c>
      <c r="D44" t="s">
        <v>373</v>
      </c>
    </row>
    <row r="45" spans="1:5" x14ac:dyDescent="0.2">
      <c r="A45" t="str">
        <f>HYPERLINK("https://simpsons.porn/tag", "https://simpsons.porn/tag")</f>
        <v>https://simpsons.porn/tag</v>
      </c>
      <c r="B45" t="s">
        <v>5</v>
      </c>
      <c r="C45" t="str">
        <f>HYPERLINK("https://www.reddit.com/r/opendirectories/comments/o3prrd", "Tagged index of Simpsons porn NSFW")</f>
        <v>Tagged index of Simpsons porn NSFW</v>
      </c>
      <c r="D45" t="s">
        <v>25</v>
      </c>
    </row>
    <row r="46" spans="1:5" x14ac:dyDescent="0.2">
      <c r="A46" t="str">
        <f>HYPERLINK("http://195.93.160.105", "http://195.93.160.105")</f>
        <v>http://195.93.160.105</v>
      </c>
      <c r="B46" t="s">
        <v>5</v>
      </c>
      <c r="C46" t="str">
        <f>HYPERLINK("https://www.reddit.com/r/opendirectories/comments/innmzu", "Russian dexes are great [FLAC]")</f>
        <v>Russian dexes are great [FLAC]</v>
      </c>
      <c r="D46" t="s">
        <v>374</v>
      </c>
      <c r="E46" t="s">
        <v>8</v>
      </c>
    </row>
    <row r="47" spans="1:5" x14ac:dyDescent="0.2">
      <c r="A47" t="str">
        <f>HYPERLINK("http://24.138.249.6/Peliculas/Ingles", "http://24.138.249.6/Peliculas/Ingles")</f>
        <v>http://24.138.249.6/Peliculas/Ingles</v>
      </c>
      <c r="B47" t="s">
        <v>5</v>
      </c>
      <c r="C47" t="str">
        <f>HYPERLINK("https://www.reddit.com/r/opendirectories/comments/o126k9", "English movies")</f>
        <v>English movies</v>
      </c>
      <c r="D47" t="s">
        <v>26</v>
      </c>
      <c r="E47" t="s">
        <v>14</v>
      </c>
    </row>
    <row r="48" spans="1:5" x14ac:dyDescent="0.2">
      <c r="A48" t="str">
        <f>HYPERLINK("http://188.165.227.112", "http://188.165.227.112")</f>
        <v>http://188.165.227.112</v>
      </c>
      <c r="B48" t="s">
        <v>5</v>
      </c>
      <c r="C48" t="str">
        <f>HYPERLINK("https://www.reddit.com/r/opendirectories/comments/nkkq2m", "🎠🎠🎠")</f>
        <v>🎠🎠🎠</v>
      </c>
      <c r="D48" t="s">
        <v>375</v>
      </c>
      <c r="E48" t="s">
        <v>51</v>
      </c>
    </row>
    <row r="49" spans="1:5" x14ac:dyDescent="0.2">
      <c r="A49" t="str">
        <f>HYPERLINK("http://173.249.48.243", "http://173.249.48.243")</f>
        <v>http://173.249.48.243</v>
      </c>
      <c r="B49" t="s">
        <v>5</v>
      </c>
      <c r="C49" t="str">
        <f>HYPERLINK("https://www.reddit.com/r/opendirectories/comments/nwdast", "Animation and kids movies, fast speeds")</f>
        <v>Animation and kids movies, fast speeds</v>
      </c>
      <c r="D49" t="s">
        <v>376</v>
      </c>
      <c r="E49" t="s">
        <v>14</v>
      </c>
    </row>
    <row r="50" spans="1:5" x14ac:dyDescent="0.2">
      <c r="A50" t="str">
        <f>HYPERLINK("http://ns3745249.ip-213-32-1.eu", "http://ns3745249.ip-213-32-1.eu")</f>
        <v>http://ns3745249.ip-213-32-1.eu</v>
      </c>
      <c r="B50" t="s">
        <v>5</v>
      </c>
      <c r="C50" t="str">
        <f>HYPERLINK("https://www.reddit.com/r/opendirectories/comments/nt642o", "Hem, this is for my friends")</f>
        <v>Hem, this is for my friends</v>
      </c>
      <c r="D50" t="s">
        <v>269</v>
      </c>
    </row>
    <row r="51" spans="1:5" x14ac:dyDescent="0.2">
      <c r="A51" t="str">
        <f>HYPERLINK("http://178.33.202.131", "http://178.33.202.131")</f>
        <v>http://178.33.202.131</v>
      </c>
      <c r="B51" t="s">
        <v>5</v>
      </c>
      <c r="C51" t="str">
        <f>HYPERLINK("https://www.reddit.com/r/opendirectories/comments/nt642o", "Hem, this is for my friends")</f>
        <v>Hem, this is for my friends</v>
      </c>
      <c r="D51" t="s">
        <v>269</v>
      </c>
    </row>
    <row r="52" spans="1:5" x14ac:dyDescent="0.2">
      <c r="A52" t="str">
        <f>HYPERLINK("http://54.39.157.211", "http://54.39.157.211")</f>
        <v>http://54.39.157.211</v>
      </c>
      <c r="B52" t="s">
        <v>5</v>
      </c>
      <c r="C52" t="str">
        <f>HYPERLINK("https://www.reddit.com/r/opendirectories/comments/jsa66s", "Latin movies/series or movies/series dubbed/subtitled in [POR][SPA] - Part 1")</f>
        <v>Latin movies/series or movies/series dubbed/subtitled in [POR][SPA] - Part 1</v>
      </c>
      <c r="D52" t="s">
        <v>266</v>
      </c>
    </row>
    <row r="53" spans="1:5" x14ac:dyDescent="0.2">
      <c r="A53" t="str">
        <f>HYPERLINK("http://213.32.1.25", "http://213.32.1.25")</f>
        <v>http://213.32.1.25</v>
      </c>
      <c r="B53" t="s">
        <v>5</v>
      </c>
      <c r="C53" t="str">
        <f>HYPERLINK("https://www.reddit.com/r/opendirectories/comments/nsh9j0", "Media")</f>
        <v>Media</v>
      </c>
      <c r="D53" t="s">
        <v>269</v>
      </c>
    </row>
    <row r="54" spans="1:5" x14ac:dyDescent="0.2">
      <c r="A54" t="str">
        <f>HYPERLINK("http://62.210.114.129/dl", "http://62.210.114.129/dl")</f>
        <v>http://62.210.114.129/dl</v>
      </c>
      <c r="B54" t="s">
        <v>5</v>
      </c>
      <c r="C54" t="str">
        <f>HYPERLINK("https://www.reddit.com/r/opendirectories/comments/nsh9j0", "Media")</f>
        <v>Media</v>
      </c>
      <c r="D54" t="s">
        <v>269</v>
      </c>
    </row>
    <row r="55" spans="1:5" x14ac:dyDescent="0.2">
      <c r="A55" t="str">
        <f>HYPERLINK("http://144.217.64.85", "http://144.217.64.85")</f>
        <v>http://144.217.64.85</v>
      </c>
      <c r="B55" t="s">
        <v>5</v>
      </c>
      <c r="C55" t="str">
        <f>HYPERLINK("https://www.reddit.com/r/opendirectories/comments/nsh9j0", "Media")</f>
        <v>Media</v>
      </c>
      <c r="D55" t="s">
        <v>269</v>
      </c>
    </row>
    <row r="56" spans="1:5" x14ac:dyDescent="0.2">
      <c r="A56" t="str">
        <f>HYPERLINK("http://213.58.179.90", "http://213.58.179.90")</f>
        <v>http://213.58.179.90</v>
      </c>
      <c r="B56" t="s">
        <v>5</v>
      </c>
      <c r="C56" t="str">
        <f>HYPERLINK("https://www.reddit.com/r/opendirectories/comments/nsh9j0", "Media")</f>
        <v>Media</v>
      </c>
      <c r="D56" t="s">
        <v>269</v>
      </c>
    </row>
    <row r="57" spans="1:5" x14ac:dyDescent="0.2">
      <c r="A57" t="str">
        <f>HYPERLINK("http://220.118.117.95", "http://220.118.117.95")</f>
        <v>http://220.118.117.95</v>
      </c>
      <c r="B57" t="s">
        <v>5</v>
      </c>
      <c r="C57" t="str">
        <f>HYPERLINK("https://www.reddit.com/r/opendirectories/comments/nsh9j0", "Media")</f>
        <v>Media</v>
      </c>
      <c r="D57" t="s">
        <v>269</v>
      </c>
    </row>
    <row r="58" spans="1:5" x14ac:dyDescent="0.2">
      <c r="A58" t="str">
        <f>HYPERLINK("http://129.56.32.125:8082", "http://129.56.32.125:8082")</f>
        <v>http://129.56.32.125:8082</v>
      </c>
      <c r="B58" t="s">
        <v>5</v>
      </c>
      <c r="C58" t="str">
        <f>HYPERLINK("https://www.reddit.com/r/opendirectories/comments/ns1z0c", "Movies,Series... in English [ENG] - Part 3")</f>
        <v>Movies,Series... in English [ENG] - Part 3</v>
      </c>
      <c r="D58" t="s">
        <v>270</v>
      </c>
      <c r="E58" t="s">
        <v>14</v>
      </c>
    </row>
    <row r="59" spans="1:5" x14ac:dyDescent="0.2">
      <c r="A59" t="str">
        <f>HYPERLINK("http://82.30.175.147", "http://82.30.175.147")</f>
        <v>http://82.30.175.147</v>
      </c>
      <c r="B59" t="s">
        <v>5</v>
      </c>
      <c r="C59" t="str">
        <f>HYPERLINK("https://www.reddit.com/r/opendirectories/comments/ns1z0c", "Movies,Series... in English [ENG] - Part 3")</f>
        <v>Movies,Series... in English [ENG] - Part 3</v>
      </c>
      <c r="D59" t="s">
        <v>270</v>
      </c>
      <c r="E59" t="s">
        <v>14</v>
      </c>
    </row>
    <row r="60" spans="1:5" x14ac:dyDescent="0.2">
      <c r="A60" t="str">
        <f>HYPERLINK("https://sphorus.thoas.feralhosting.com", "https://sphorus.thoas.feralhosting.com")</f>
        <v>https://sphorus.thoas.feralhosting.com</v>
      </c>
      <c r="B60" t="s">
        <v>5</v>
      </c>
      <c r="C60" t="str">
        <f>HYPERLINK("https://www.reddit.com/r/opendirectories/comments/ns1z0c", "Movies,Series... in English [ENG] - Part 3")</f>
        <v>Movies,Series... in English [ENG] - Part 3</v>
      </c>
      <c r="D60" t="s">
        <v>270</v>
      </c>
      <c r="E60" t="s">
        <v>14</v>
      </c>
    </row>
    <row r="61" spans="1:5" x14ac:dyDescent="0.2">
      <c r="A61" t="str">
        <f>HYPERLINK("http://dl6.doostihaa.com/Animation/2020", "http://dl6.doostihaa.com/Animation/2020")</f>
        <v>http://dl6.doostihaa.com/Animation/2020</v>
      </c>
      <c r="B61" t="s">
        <v>5</v>
      </c>
      <c r="C61" t="str">
        <f>HYPERLINK("https://www.reddit.com/r/opendirectories/comments/ns1z0c", "Movies,Series... in English [ENG] - Part 3")</f>
        <v>Movies,Series... in English [ENG] - Part 3</v>
      </c>
      <c r="D61" t="s">
        <v>270</v>
      </c>
      <c r="E61" t="s">
        <v>14</v>
      </c>
    </row>
    <row r="62" spans="1:5" x14ac:dyDescent="0.2">
      <c r="A62" t="str">
        <f>HYPERLINK("http://dl2.doostihaa.net/Animation", "http://dl2.doostihaa.net/Animation")</f>
        <v>http://dl2.doostihaa.net/Animation</v>
      </c>
      <c r="B62" t="s">
        <v>5</v>
      </c>
      <c r="C62" t="str">
        <f t="shared" ref="C62:C70" si="1">HYPERLINK("https://www.reddit.com/r/opendirectories/comments/nsa8yg", "A mixed bag of asian Animes/Mangas ... and some movies, essentially in [JAP][KOR] and maybe some [ENG] subs.")</f>
        <v>A mixed bag of asian Animes/Mangas ... and some movies, essentially in [JAP][KOR] and maybe some [ENG] subs.</v>
      </c>
      <c r="D62" t="s">
        <v>270</v>
      </c>
      <c r="E62" t="s">
        <v>14</v>
      </c>
    </row>
    <row r="63" spans="1:5" x14ac:dyDescent="0.2">
      <c r="A63" t="str">
        <f>HYPERLINK("https://208.113.165.59", "https://208.113.165.59")</f>
        <v>https://208.113.165.59</v>
      </c>
      <c r="B63" t="s">
        <v>5</v>
      </c>
      <c r="C63" t="str">
        <f t="shared" si="1"/>
        <v>A mixed bag of asian Animes/Mangas ... and some movies, essentially in [JAP][KOR] and maybe some [ENG] subs.</v>
      </c>
      <c r="D63" t="s">
        <v>270</v>
      </c>
      <c r="E63" t="s">
        <v>14</v>
      </c>
    </row>
    <row r="64" spans="1:5" x14ac:dyDescent="0.2">
      <c r="A64" t="str">
        <f>HYPERLINK("http://176.36.86.211", "http://176.36.86.211")</f>
        <v>http://176.36.86.211</v>
      </c>
      <c r="B64" t="s">
        <v>5</v>
      </c>
      <c r="C64" t="str">
        <f t="shared" si="1"/>
        <v>A mixed bag of asian Animes/Mangas ... and some movies, essentially in [JAP][KOR] and maybe some [ENG] subs.</v>
      </c>
      <c r="D64" t="s">
        <v>270</v>
      </c>
      <c r="E64" t="s">
        <v>14</v>
      </c>
    </row>
    <row r="65" spans="1:5" x14ac:dyDescent="0.2">
      <c r="A65" t="str">
        <f>HYPERLINK("https://166.84.7.155", "https://166.84.7.155")</f>
        <v>https://166.84.7.155</v>
      </c>
      <c r="B65" t="s">
        <v>5</v>
      </c>
      <c r="C65" t="str">
        <f t="shared" si="1"/>
        <v>A mixed bag of asian Animes/Mangas ... and some movies, essentially in [JAP][KOR] and maybe some [ENG] subs.</v>
      </c>
      <c r="D65" t="s">
        <v>270</v>
      </c>
      <c r="E65" t="s">
        <v>14</v>
      </c>
    </row>
    <row r="66" spans="1:5" x14ac:dyDescent="0.2">
      <c r="A66" t="str">
        <f>HYPERLINK("http://ns3309227.ip-178-32-222.eu", "http://ns3309227.ip-178-32-222.eu")</f>
        <v>http://ns3309227.ip-178-32-222.eu</v>
      </c>
      <c r="B66" t="s">
        <v>5</v>
      </c>
      <c r="C66" t="str">
        <f t="shared" si="1"/>
        <v>A mixed bag of asian Animes/Mangas ... and some movies, essentially in [JAP][KOR] and maybe some [ENG] subs.</v>
      </c>
      <c r="D66" t="s">
        <v>270</v>
      </c>
      <c r="E66" t="s">
        <v>14</v>
      </c>
    </row>
    <row r="67" spans="1:5" x14ac:dyDescent="0.2">
      <c r="A67" t="str">
        <f>HYPERLINK("https://73.50.3.208", "https://73.50.3.208")</f>
        <v>https://73.50.3.208</v>
      </c>
      <c r="B67" t="s">
        <v>5</v>
      </c>
      <c r="C67" t="str">
        <f t="shared" si="1"/>
        <v>A mixed bag of asian Animes/Mangas ... and some movies, essentially in [JAP][KOR] and maybe some [ENG] subs.</v>
      </c>
      <c r="D67" t="s">
        <v>270</v>
      </c>
      <c r="E67" t="s">
        <v>14</v>
      </c>
    </row>
    <row r="68" spans="1:5" x14ac:dyDescent="0.2">
      <c r="A68" t="str">
        <f>HYPERLINK("http://zdlo.oni2.net", "http://zdlo.oni2.net")</f>
        <v>http://zdlo.oni2.net</v>
      </c>
      <c r="B68" t="s">
        <v>5</v>
      </c>
      <c r="C68" t="str">
        <f t="shared" si="1"/>
        <v>A mixed bag of asian Animes/Mangas ... and some movies, essentially in [JAP][KOR] and maybe some [ENG] subs.</v>
      </c>
      <c r="D68" t="s">
        <v>270</v>
      </c>
      <c r="E68" t="s">
        <v>14</v>
      </c>
    </row>
    <row r="69" spans="1:5" x14ac:dyDescent="0.2">
      <c r="A69" t="str">
        <f>HYPERLINK("https://192.99.0.65", "https://192.99.0.65")</f>
        <v>https://192.99.0.65</v>
      </c>
      <c r="B69" t="s">
        <v>5</v>
      </c>
      <c r="C69" t="str">
        <f t="shared" si="1"/>
        <v>A mixed bag of asian Animes/Mangas ... and some movies, essentially in [JAP][KOR] and maybe some [ENG] subs.</v>
      </c>
      <c r="D69" t="s">
        <v>270</v>
      </c>
      <c r="E69" t="s">
        <v>14</v>
      </c>
    </row>
    <row r="70" spans="1:5" x14ac:dyDescent="0.2">
      <c r="A70" t="str">
        <f>HYPERLINK("http://221.157.97.238", "http://221.157.97.238")</f>
        <v>http://221.157.97.238</v>
      </c>
      <c r="B70" t="s">
        <v>5</v>
      </c>
      <c r="C70" t="str">
        <f t="shared" si="1"/>
        <v>A mixed bag of asian Animes/Mangas ... and some movies, essentially in [JAP][KOR] and maybe some [ENG] subs.</v>
      </c>
      <c r="D70" t="s">
        <v>270</v>
      </c>
      <c r="E70" t="s">
        <v>14</v>
      </c>
    </row>
    <row r="71" spans="1:5" x14ac:dyDescent="0.2">
      <c r="A71" t="str">
        <f>HYPERLINK("http://103.222.20.150/ftpdata", "http://103.222.20.150/ftpdata")</f>
        <v>http://103.222.20.150/ftpdata</v>
      </c>
      <c r="B71" t="s">
        <v>5</v>
      </c>
      <c r="C71" t="str">
        <f>HYPERLINK("https://www.reddit.com/r/opendirectories/comments/ns5d3w", "Random movies tv series")</f>
        <v>Random movies tv series</v>
      </c>
      <c r="D71" t="s">
        <v>270</v>
      </c>
      <c r="E71" t="s">
        <v>14</v>
      </c>
    </row>
    <row r="72" spans="1:5" x14ac:dyDescent="0.2">
      <c r="A72" t="str">
        <f>HYPERLINK("http://prisoner627.gegenees.feralhosting.com", "http://prisoner627.gegenees.feralhosting.com")</f>
        <v>http://prisoner627.gegenees.feralhosting.com</v>
      </c>
      <c r="B72" t="s">
        <v>5</v>
      </c>
      <c r="C72" t="str">
        <f t="shared" ref="C72:C80" si="2">HYPERLINK("https://www.reddit.com/r/opendirectories/comments/ns2wcv", "Movies,Series... in English [ENG] - Part 5")</f>
        <v>Movies,Series... in English [ENG] - Part 5</v>
      </c>
      <c r="D72" t="s">
        <v>270</v>
      </c>
      <c r="E72" t="s">
        <v>14</v>
      </c>
    </row>
    <row r="73" spans="1:5" x14ac:dyDescent="0.2">
      <c r="A73" t="str">
        <f>HYPERLINK("http://37.187.98.179", "http://37.187.98.179")</f>
        <v>http://37.187.98.179</v>
      </c>
      <c r="B73" t="s">
        <v>5</v>
      </c>
      <c r="C73" t="str">
        <f t="shared" si="2"/>
        <v>Movies,Series... in English [ENG] - Part 5</v>
      </c>
      <c r="D73" t="s">
        <v>270</v>
      </c>
      <c r="E73" t="s">
        <v>14</v>
      </c>
    </row>
    <row r="74" spans="1:5" x14ac:dyDescent="0.2">
      <c r="A74" t="str">
        <f>HYPERLINK("http://207.180.202.23", "http://207.180.202.23")</f>
        <v>http://207.180.202.23</v>
      </c>
      <c r="B74" t="s">
        <v>5</v>
      </c>
      <c r="C74" t="str">
        <f t="shared" si="2"/>
        <v>Movies,Series... in English [ENG] - Part 5</v>
      </c>
      <c r="D74" t="s">
        <v>270</v>
      </c>
      <c r="E74" t="s">
        <v>14</v>
      </c>
    </row>
    <row r="75" spans="1:5" x14ac:dyDescent="0.2">
      <c r="A75" t="str">
        <f>HYPERLINK("http://dl1.doostihaa.com/files/Doc", "http://dl1.doostihaa.com/files/Doc")</f>
        <v>http://dl1.doostihaa.com/files/Doc</v>
      </c>
      <c r="B75" t="s">
        <v>5</v>
      </c>
      <c r="C75" t="str">
        <f t="shared" si="2"/>
        <v>Movies,Series... in English [ENG] - Part 5</v>
      </c>
      <c r="D75" t="s">
        <v>270</v>
      </c>
      <c r="E75" t="s">
        <v>14</v>
      </c>
    </row>
    <row r="76" spans="1:5" x14ac:dyDescent="0.2">
      <c r="A76" t="str">
        <f>HYPERLINK("http://134.122.55.201", "http://134.122.55.201")</f>
        <v>http://134.122.55.201</v>
      </c>
      <c r="B76" t="s">
        <v>5</v>
      </c>
      <c r="C76" t="str">
        <f t="shared" si="2"/>
        <v>Movies,Series... in English [ENG] - Part 5</v>
      </c>
      <c r="D76" t="s">
        <v>270</v>
      </c>
      <c r="E76" t="s">
        <v>14</v>
      </c>
    </row>
    <row r="77" spans="1:5" x14ac:dyDescent="0.2">
      <c r="A77" t="str">
        <f>HYPERLINK("http://167.114.174.132:9092", "http://167.114.174.132:9092")</f>
        <v>http://167.114.174.132:9092</v>
      </c>
      <c r="B77" t="s">
        <v>5</v>
      </c>
      <c r="C77" t="str">
        <f t="shared" si="2"/>
        <v>Movies,Series... in English [ENG] - Part 5</v>
      </c>
      <c r="D77" t="s">
        <v>270</v>
      </c>
      <c r="E77" t="s">
        <v>14</v>
      </c>
    </row>
    <row r="78" spans="1:5" x14ac:dyDescent="0.2">
      <c r="A78" t="str">
        <f>HYPERLINK("http://195.154.235.161:8888", "http://195.154.235.161:8888")</f>
        <v>http://195.154.235.161:8888</v>
      </c>
      <c r="B78" t="s">
        <v>5</v>
      </c>
      <c r="C78" t="str">
        <f t="shared" si="2"/>
        <v>Movies,Series... in English [ENG] - Part 5</v>
      </c>
      <c r="D78" t="s">
        <v>270</v>
      </c>
      <c r="E78" t="s">
        <v>14</v>
      </c>
    </row>
    <row r="79" spans="1:5" x14ac:dyDescent="0.2">
      <c r="A79" t="str">
        <f>HYPERLINK("http://207.96.127.51:8800", "http://207.96.127.51:8800")</f>
        <v>http://207.96.127.51:8800</v>
      </c>
      <c r="B79" t="s">
        <v>5</v>
      </c>
      <c r="C79" t="str">
        <f t="shared" si="2"/>
        <v>Movies,Series... in English [ENG] - Part 5</v>
      </c>
      <c r="D79" t="s">
        <v>270</v>
      </c>
      <c r="E79" t="s">
        <v>14</v>
      </c>
    </row>
    <row r="80" spans="1:5" x14ac:dyDescent="0.2">
      <c r="A80" t="str">
        <f>HYPERLINK("http://167.86.72.208", "http://167.86.72.208")</f>
        <v>http://167.86.72.208</v>
      </c>
      <c r="B80" t="s">
        <v>5</v>
      </c>
      <c r="C80" t="str">
        <f t="shared" si="2"/>
        <v>Movies,Series... in English [ENG] - Part 5</v>
      </c>
      <c r="D80" t="s">
        <v>270</v>
      </c>
      <c r="E80" t="s">
        <v>14</v>
      </c>
    </row>
    <row r="81" spans="1:5" x14ac:dyDescent="0.2">
      <c r="A81" t="str">
        <f>HYPERLINK("http://62.171.178.53:86", "http://62.171.178.53:86")</f>
        <v>http://62.171.178.53:86</v>
      </c>
      <c r="B81" t="s">
        <v>5</v>
      </c>
      <c r="C81" t="str">
        <f t="shared" ref="C81:C86" si="3">HYPERLINK("https://www.reddit.com/r/opendirectories/comments/ns2avz", "Movies,Series... in English [ENG] - Part 4")</f>
        <v>Movies,Series... in English [ENG] - Part 4</v>
      </c>
      <c r="D81" t="s">
        <v>270</v>
      </c>
      <c r="E81" t="s">
        <v>14</v>
      </c>
    </row>
    <row r="82" spans="1:5" x14ac:dyDescent="0.2">
      <c r="A82" t="str">
        <f>HYPERLINK("http://161.53.212.124", "http://161.53.212.124")</f>
        <v>http://161.53.212.124</v>
      </c>
      <c r="B82" t="s">
        <v>5</v>
      </c>
      <c r="C82" t="str">
        <f t="shared" si="3"/>
        <v>Movies,Series... in English [ENG] - Part 4</v>
      </c>
      <c r="D82" t="s">
        <v>270</v>
      </c>
      <c r="E82" t="s">
        <v>14</v>
      </c>
    </row>
    <row r="83" spans="1:5" x14ac:dyDescent="0.2">
      <c r="A83" t="str">
        <f>HYPERLINK("https://163.172.141.136:4443", "https://163.172.141.136:4443")</f>
        <v>https://163.172.141.136:4443</v>
      </c>
      <c r="B83" t="s">
        <v>5</v>
      </c>
      <c r="C83" t="str">
        <f t="shared" si="3"/>
        <v>Movies,Series... in English [ENG] - Part 4</v>
      </c>
      <c r="D83" t="s">
        <v>270</v>
      </c>
      <c r="E83" t="s">
        <v>14</v>
      </c>
    </row>
    <row r="84" spans="1:5" x14ac:dyDescent="0.2">
      <c r="A84" t="str">
        <f>HYPERLINK("http://145.40.71.25:8001", "http://145.40.71.25:8001")</f>
        <v>http://145.40.71.25:8001</v>
      </c>
      <c r="B84" t="s">
        <v>5</v>
      </c>
      <c r="C84" t="str">
        <f t="shared" si="3"/>
        <v>Movies,Series... in English [ENG] - Part 4</v>
      </c>
      <c r="D84" t="s">
        <v>270</v>
      </c>
      <c r="E84" t="s">
        <v>14</v>
      </c>
    </row>
    <row r="85" spans="1:5" x14ac:dyDescent="0.2">
      <c r="A85" t="str">
        <f>HYPERLINK("http://188.226.162.117", "http://188.226.162.117")</f>
        <v>http://188.226.162.117</v>
      </c>
      <c r="B85" t="s">
        <v>5</v>
      </c>
      <c r="C85" t="str">
        <f t="shared" si="3"/>
        <v>Movies,Series... in English [ENG] - Part 4</v>
      </c>
      <c r="D85" t="s">
        <v>270</v>
      </c>
      <c r="E85" t="s">
        <v>14</v>
      </c>
    </row>
    <row r="86" spans="1:5" x14ac:dyDescent="0.2">
      <c r="A86" t="str">
        <f>HYPERLINK("http://89.91.159.6:8080", "http://89.91.159.6:8080")</f>
        <v>http://89.91.159.6:8080</v>
      </c>
      <c r="B86" t="s">
        <v>5</v>
      </c>
      <c r="C86" t="str">
        <f t="shared" si="3"/>
        <v>Movies,Series... in English [ENG] - Part 4</v>
      </c>
      <c r="D86" t="s">
        <v>270</v>
      </c>
      <c r="E86" t="s">
        <v>14</v>
      </c>
    </row>
    <row r="87" spans="1:5" x14ac:dyDescent="0.2">
      <c r="A87" t="str">
        <f>HYPERLINK("http://91.121.79.24", "http://91.121.79.24")</f>
        <v>http://91.121.79.24</v>
      </c>
      <c r="B87" t="s">
        <v>5</v>
      </c>
      <c r="C87" t="str">
        <f>HYPERLINK("https://www.reddit.com/r/opendirectories/comments/ns1kdi", "Movies,Series... in English [ENG] - Part 2")</f>
        <v>Movies,Series... in English [ENG] - Part 2</v>
      </c>
      <c r="D87" t="s">
        <v>270</v>
      </c>
      <c r="E87" t="s">
        <v>14</v>
      </c>
    </row>
    <row r="88" spans="1:5" x14ac:dyDescent="0.2">
      <c r="A88" t="str">
        <f>HYPERLINK("http://108.28.249.229", "http://108.28.249.229")</f>
        <v>http://108.28.249.229</v>
      </c>
      <c r="B88" t="s">
        <v>5</v>
      </c>
      <c r="C88" t="str">
        <f>HYPERLINK("https://www.reddit.com/r/opendirectories/comments/ns1kdi", "Movies,Series... in English [ENG] - Part 2")</f>
        <v>Movies,Series... in English [ENG] - Part 2</v>
      </c>
      <c r="D88" t="s">
        <v>270</v>
      </c>
      <c r="E88" t="s">
        <v>14</v>
      </c>
    </row>
    <row r="89" spans="1:5" x14ac:dyDescent="0.2">
      <c r="A89" t="str">
        <f>HYPERLINK("http://173.90.172.11:9999", "http://173.90.172.11:9999")</f>
        <v>http://173.90.172.11:9999</v>
      </c>
      <c r="B89" t="s">
        <v>5</v>
      </c>
      <c r="C89" t="str">
        <f>HYPERLINK("https://www.reddit.com/r/opendirectories/comments/ns1kdi", "Movies,Series... in English [ENG] - Part 2")</f>
        <v>Movies,Series... in English [ENG] - Part 2</v>
      </c>
      <c r="D89" t="s">
        <v>270</v>
      </c>
      <c r="E89" t="s">
        <v>14</v>
      </c>
    </row>
    <row r="90" spans="1:5" x14ac:dyDescent="0.2">
      <c r="A90" t="str">
        <f>HYPERLINK("http://213.171.213.124", "http://213.171.213.124")</f>
        <v>http://213.171.213.124</v>
      </c>
      <c r="B90" t="s">
        <v>5</v>
      </c>
      <c r="C90" t="str">
        <f>HYPERLINK("https://www.reddit.com/r/opendirectories/comments/ns1ejo", "Movies,Series... in English [ENG] - Part 1")</f>
        <v>Movies,Series... in English [ENG] - Part 1</v>
      </c>
      <c r="D90" t="s">
        <v>270</v>
      </c>
      <c r="E90" t="s">
        <v>14</v>
      </c>
    </row>
    <row r="91" spans="1:5" x14ac:dyDescent="0.2">
      <c r="A91" t="str">
        <f>HYPERLINK("http://livingthrudev.com", "http://livingthrudev.com")</f>
        <v>http://livingthrudev.com</v>
      </c>
      <c r="B91" t="s">
        <v>5</v>
      </c>
      <c r="C91" t="str">
        <f>HYPERLINK("https://www.reddit.com/r/opendirectories/comments/ns1ejo", "Movies,Series... in English [ENG] - Part 1")</f>
        <v>Movies,Series... in English [ENG] - Part 1</v>
      </c>
      <c r="D91" t="s">
        <v>270</v>
      </c>
      <c r="E91" t="s">
        <v>14</v>
      </c>
    </row>
    <row r="92" spans="1:5" x14ac:dyDescent="0.2">
      <c r="A92" t="str">
        <f>HYPERLINK("http://51.159.55.55:8880", "http://51.159.55.55:8880")</f>
        <v>http://51.159.55.55:8880</v>
      </c>
      <c r="B92" t="s">
        <v>5</v>
      </c>
      <c r="C92" t="str">
        <f>HYPERLINK("https://www.reddit.com/r/opendirectories/comments/ns1ejo", "Movies,Series... in English [ENG] - Part 1")</f>
        <v>Movies,Series... in English [ENG] - Part 1</v>
      </c>
      <c r="D92" t="s">
        <v>270</v>
      </c>
      <c r="E92" t="s">
        <v>14</v>
      </c>
    </row>
    <row r="93" spans="1:5" x14ac:dyDescent="0.2">
      <c r="A93" t="str">
        <f>HYPERLINK("http://mail.achei.win", "http://mail.achei.win")</f>
        <v>http://mail.achei.win</v>
      </c>
      <c r="B93" t="s">
        <v>5</v>
      </c>
      <c r="C93" t="str">
        <f>HYPERLINK("https://www.reddit.com/r/opendirectories/comments/ns10uw", "Movies, Series ... [BRA][POR]")</f>
        <v>Movies, Series ... [BRA][POR]</v>
      </c>
      <c r="D93" t="s">
        <v>270</v>
      </c>
    </row>
    <row r="94" spans="1:5" x14ac:dyDescent="0.2">
      <c r="A94" t="str">
        <f>HYPERLINK("https://178.238.228.199", "https://178.238.228.199")</f>
        <v>https://178.238.228.199</v>
      </c>
      <c r="B94" t="s">
        <v>5</v>
      </c>
      <c r="C94" t="str">
        <f>HYPERLINK("https://www.reddit.com/r/opendirectories/comments/ns0y6c", "Movies, Series ... in Spanish [SPA]")</f>
        <v>Movies, Series ... in Spanish [SPA]</v>
      </c>
      <c r="D94" t="s">
        <v>270</v>
      </c>
      <c r="E94" t="s">
        <v>377</v>
      </c>
    </row>
    <row r="95" spans="1:5" x14ac:dyDescent="0.2">
      <c r="A95" t="str">
        <f>HYPERLINK("http://195.154.146.169", "http://195.154.146.169")</f>
        <v>http://195.154.146.169</v>
      </c>
      <c r="B95" t="s">
        <v>5</v>
      </c>
      <c r="C95" t="str">
        <f>HYPERLINK("https://www.reddit.com/r/opendirectories/comments/ns0y6c", "Movies, Series ... in Spanish [SPA]")</f>
        <v>Movies, Series ... in Spanish [SPA]</v>
      </c>
      <c r="D95" t="s">
        <v>270</v>
      </c>
      <c r="E95" t="s">
        <v>377</v>
      </c>
    </row>
    <row r="96" spans="1:5" x14ac:dyDescent="0.2">
      <c r="A96" t="str">
        <f>HYPERLINK("http://tubeuploads.bang.com", "http://tubeuploads.bang.com")</f>
        <v>http://tubeuploads.bang.com</v>
      </c>
      <c r="B96" t="s">
        <v>5</v>
      </c>
      <c r="C96" t="str">
        <f>HYPERLINK("https://www.reddit.com/r/opendirectories/comments/noand3", "NSFW many Compilations 1G ish each")</f>
        <v>NSFW many Compilations 1G ish each</v>
      </c>
      <c r="D96" t="s">
        <v>271</v>
      </c>
    </row>
    <row r="97" spans="1:4" x14ac:dyDescent="0.2">
      <c r="A97" t="str">
        <f>HYPERLINK("https://www.qsl.net/4/4x6on", "https://www.qsl.net/4/4x6on")</f>
        <v>https://www.qsl.net/4/4x6on</v>
      </c>
      <c r="B97" t="s">
        <v>5</v>
      </c>
      <c r="C97" t="str">
        <f t="shared" ref="C97:C103" si="4">HYPERLINK("https://www.reddit.com/r/opendirectories/comments/nlw3er", "Manuals &amp;amp; Schematics")</f>
        <v>Manuals &amp;amp; Schematics</v>
      </c>
      <c r="D97" t="s">
        <v>378</v>
      </c>
    </row>
    <row r="98" spans="1:4" x14ac:dyDescent="0.2">
      <c r="A98" t="str">
        <f>HYPERLINK("https://magicplay.eu", "https://magicplay.eu")</f>
        <v>https://magicplay.eu</v>
      </c>
      <c r="B98" t="s">
        <v>5</v>
      </c>
      <c r="C98" t="str">
        <f t="shared" si="4"/>
        <v>Manuals &amp;amp; Schematics</v>
      </c>
      <c r="D98" t="s">
        <v>378</v>
      </c>
    </row>
    <row r="99" spans="1:4" x14ac:dyDescent="0.2">
      <c r="A99" t="str">
        <f>HYPERLINK("http://roadraceengineering.com/ralliart", "http://roadraceengineering.com/ralliart")</f>
        <v>http://roadraceengineering.com/ralliart</v>
      </c>
      <c r="B99" t="s">
        <v>5</v>
      </c>
      <c r="C99" t="str">
        <f t="shared" si="4"/>
        <v>Manuals &amp;amp; Schematics</v>
      </c>
      <c r="D99" t="s">
        <v>378</v>
      </c>
    </row>
    <row r="100" spans="1:4" x14ac:dyDescent="0.2">
      <c r="A100" t="str">
        <f>HYPERLINK("http://toolsmith.ws/catalogs", "http://toolsmith.ws/catalogs")</f>
        <v>http://toolsmith.ws/catalogs</v>
      </c>
      <c r="B100" t="s">
        <v>5</v>
      </c>
      <c r="C100" t="str">
        <f t="shared" si="4"/>
        <v>Manuals &amp;amp; Schematics</v>
      </c>
      <c r="D100" t="s">
        <v>378</v>
      </c>
    </row>
    <row r="101" spans="1:4" x14ac:dyDescent="0.2">
      <c r="A101" t="str">
        <f>HYPERLINK("http://starin.info/Product%20Info", "http://starin.info/Product%20Info")</f>
        <v>http://starin.info/Product%20Info</v>
      </c>
      <c r="B101" t="s">
        <v>5</v>
      </c>
      <c r="C101" t="str">
        <f t="shared" si="4"/>
        <v>Manuals &amp;amp; Schematics</v>
      </c>
      <c r="D101" t="s">
        <v>378</v>
      </c>
    </row>
    <row r="102" spans="1:4" x14ac:dyDescent="0.2">
      <c r="A102" t="str">
        <f>HYPERLINK("https://www.marlow-hunter.com/wp-content/export", "https://www.marlow-hunter.com/wp-content/export")</f>
        <v>https://www.marlow-hunter.com/wp-content/export</v>
      </c>
      <c r="B102" t="s">
        <v>5</v>
      </c>
      <c r="C102" t="str">
        <f t="shared" si="4"/>
        <v>Manuals &amp;amp; Schematics</v>
      </c>
      <c r="D102" t="s">
        <v>378</v>
      </c>
    </row>
    <row r="103" spans="1:4" x14ac:dyDescent="0.2">
      <c r="A103" t="str">
        <f>HYPERLINK("https://files.bruggeman.tech/ham", "https://files.bruggeman.tech/ham")</f>
        <v>https://files.bruggeman.tech/ham</v>
      </c>
      <c r="B103" t="s">
        <v>5</v>
      </c>
      <c r="C103" t="str">
        <f t="shared" si="4"/>
        <v>Manuals &amp;amp; Schematics</v>
      </c>
      <c r="D103" t="s">
        <v>378</v>
      </c>
    </row>
    <row r="104" spans="1:4" x14ac:dyDescent="0.2">
      <c r="A104" t="str">
        <f>HYPERLINK("https://www.theclownarmy.com", "https://www.theclownarmy.com")</f>
        <v>https://www.theclownarmy.com</v>
      </c>
      <c r="B104" t="s">
        <v>5</v>
      </c>
      <c r="C104" t="str">
        <f t="shared" ref="C104:C113" si="5">HYPERLINK("https://www.reddit.com/r/opendirectories/comments/nkkq2m", "🎠🎠🎠")</f>
        <v>🎠🎠🎠</v>
      </c>
      <c r="D104" t="s">
        <v>375</v>
      </c>
    </row>
    <row r="105" spans="1:4" x14ac:dyDescent="0.2">
      <c r="A105" t="str">
        <f>HYPERLINK("https://s2.my-film.pw", "https://s2.my-film.pw")</f>
        <v>https://s2.my-film.pw</v>
      </c>
      <c r="B105" t="s">
        <v>5</v>
      </c>
      <c r="C105" t="str">
        <f t="shared" si="5"/>
        <v>🎠🎠🎠</v>
      </c>
      <c r="D105" t="s">
        <v>375</v>
      </c>
    </row>
    <row r="106" spans="1:4" x14ac:dyDescent="0.2">
      <c r="A106" t="str">
        <f>HYPERLINK("http://s3.fdll.xyz", "http://s3.fdll.xyz")</f>
        <v>http://s3.fdll.xyz</v>
      </c>
      <c r="B106" t="s">
        <v>5</v>
      </c>
      <c r="C106" t="str">
        <f t="shared" si="5"/>
        <v>🎠🎠🎠</v>
      </c>
      <c r="D106" t="s">
        <v>375</v>
      </c>
    </row>
    <row r="107" spans="1:4" x14ac:dyDescent="0.2">
      <c r="A107" t="str">
        <f>HYPERLINK("http://www.arthur-courtel.ovh", "http://www.arthur-courtel.ovh")</f>
        <v>http://www.arthur-courtel.ovh</v>
      </c>
      <c r="B107" t="s">
        <v>5</v>
      </c>
      <c r="C107" t="str">
        <f t="shared" si="5"/>
        <v>🎠🎠🎠</v>
      </c>
      <c r="D107" t="s">
        <v>375</v>
      </c>
    </row>
    <row r="108" spans="1:4" x14ac:dyDescent="0.2">
      <c r="A108" t="str">
        <f>HYPERLINK("http://jmz.ovh", "http://jmz.ovh")</f>
        <v>http://jmz.ovh</v>
      </c>
      <c r="B108" t="s">
        <v>5</v>
      </c>
      <c r="C108" t="str">
        <f t="shared" si="5"/>
        <v>🎠🎠🎠</v>
      </c>
      <c r="D108" t="s">
        <v>375</v>
      </c>
    </row>
    <row r="109" spans="1:4" x14ac:dyDescent="0.2">
      <c r="A109" t="str">
        <f>HYPERLINK("https://acdchook.net/share", "https://acdchook.net/share")</f>
        <v>https://acdchook.net/share</v>
      </c>
      <c r="B109" t="s">
        <v>5</v>
      </c>
      <c r="C109" t="str">
        <f t="shared" si="5"/>
        <v>🎠🎠🎠</v>
      </c>
      <c r="D109" t="s">
        <v>375</v>
      </c>
    </row>
    <row r="110" spans="1:4" x14ac:dyDescent="0.2">
      <c r="A110" t="str">
        <f>HYPERLINK("http://dl3.parsmovies.net", "http://dl3.parsmovies.net")</f>
        <v>http://dl3.parsmovies.net</v>
      </c>
      <c r="B110" t="s">
        <v>5</v>
      </c>
      <c r="C110" t="str">
        <f t="shared" si="5"/>
        <v>🎠🎠🎠</v>
      </c>
      <c r="D110" t="s">
        <v>375</v>
      </c>
    </row>
    <row r="111" spans="1:4" x14ac:dyDescent="0.2">
      <c r="A111" t="str">
        <f>HYPERLINK("http://dl.amy.ovh", "http://dl.amy.ovh")</f>
        <v>http://dl.amy.ovh</v>
      </c>
      <c r="B111" t="s">
        <v>5</v>
      </c>
      <c r="C111" t="str">
        <f t="shared" si="5"/>
        <v>🎠🎠🎠</v>
      </c>
      <c r="D111" t="s">
        <v>375</v>
      </c>
    </row>
    <row r="112" spans="1:4" x14ac:dyDescent="0.2">
      <c r="A112" t="str">
        <f>HYPERLINK("http://dogjdw.ipdisk.co.kr/public", "http://dogjdw.ipdisk.co.kr/public")</f>
        <v>http://dogjdw.ipdisk.co.kr/public</v>
      </c>
      <c r="B112" t="s">
        <v>5</v>
      </c>
      <c r="C112" t="str">
        <f t="shared" si="5"/>
        <v>🎠🎠🎠</v>
      </c>
      <c r="D112" t="s">
        <v>375</v>
      </c>
    </row>
    <row r="113" spans="1:5" x14ac:dyDescent="0.2">
      <c r="A113" t="str">
        <f>HYPERLINK("http://redblaze.ovh", "http://redblaze.ovh")</f>
        <v>http://redblaze.ovh</v>
      </c>
      <c r="B113" t="s">
        <v>5</v>
      </c>
      <c r="C113" t="str">
        <f t="shared" si="5"/>
        <v>🎠🎠🎠</v>
      </c>
      <c r="D113" t="s">
        <v>375</v>
      </c>
    </row>
    <row r="114" spans="1:5" x14ac:dyDescent="0.2">
      <c r="A114" t="str">
        <f>HYPERLINK("http://media.lenovo.ru/Files", "http://media.lenovo.ru/Files")</f>
        <v>http://media.lenovo.ru/Files</v>
      </c>
      <c r="B114" t="s">
        <v>5</v>
      </c>
      <c r="C114" t="str">
        <f>HYPERLINK("https://www.reddit.com/r/opendirectories/comments/nkajd9", "NICE COLLECTION")</f>
        <v>NICE COLLECTION</v>
      </c>
      <c r="D114" t="s">
        <v>375</v>
      </c>
      <c r="E114" t="s">
        <v>61</v>
      </c>
    </row>
    <row r="115" spans="1:5" x14ac:dyDescent="0.2">
      <c r="A115" t="str">
        <f>HYPERLINK("http://leone74.thoon.feralhosting.com", "http://leone74.thoon.feralhosting.com")</f>
        <v>http://leone74.thoon.feralhosting.com</v>
      </c>
      <c r="B115" t="s">
        <v>5</v>
      </c>
      <c r="C115" t="str">
        <f>HYPERLINK("https://www.reddit.com/r/opendirectories/comments/nkajd9", "NICE COLLECTION")</f>
        <v>NICE COLLECTION</v>
      </c>
      <c r="D115" t="s">
        <v>375</v>
      </c>
      <c r="E115" t="s">
        <v>61</v>
      </c>
    </row>
    <row r="116" spans="1:5" x14ac:dyDescent="0.2">
      <c r="A116" t="str">
        <f>HYPERLINK("http://59.152.105.235/Disk-1", "http://59.152.105.235/Disk-1")</f>
        <v>http://59.152.105.235/Disk-1</v>
      </c>
      <c r="B116" t="s">
        <v>5</v>
      </c>
      <c r="C116" t="str">
        <f>HYPERLINK("https://www.reddit.com/r/opendirectories/comments/nkajd9", "NICE COLLECTION")</f>
        <v>NICE COLLECTION</v>
      </c>
      <c r="D116" t="s">
        <v>375</v>
      </c>
      <c r="E116" t="s">
        <v>61</v>
      </c>
    </row>
    <row r="117" spans="1:5" x14ac:dyDescent="0.2">
      <c r="A117" t="str">
        <f>HYPERLINK("https://work.rezom.eu", "https://work.rezom.eu")</f>
        <v>https://work.rezom.eu</v>
      </c>
      <c r="B117" t="s">
        <v>5</v>
      </c>
      <c r="C117" t="str">
        <f>HYPERLINK("https://www.reddit.com/r/opendirectories/comments/nkajd9", "NICE COLLECTION")</f>
        <v>NICE COLLECTION</v>
      </c>
      <c r="D117" t="s">
        <v>375</v>
      </c>
      <c r="E117" t="s">
        <v>61</v>
      </c>
    </row>
    <row r="118" spans="1:5" x14ac:dyDescent="0.2">
      <c r="A118" t="str">
        <f>HYPERLINK("http://www.artemka.spb.ru", "http://www.artemka.spb.ru")</f>
        <v>http://www.artemka.spb.ru</v>
      </c>
      <c r="B118" t="s">
        <v>5</v>
      </c>
      <c r="C118" t="str">
        <f>HYPERLINK("https://www.reddit.com/r/opendirectories/comments/nkajd9", "NICE COLLECTION")</f>
        <v>NICE COLLECTION</v>
      </c>
      <c r="D118" t="s">
        <v>375</v>
      </c>
      <c r="E118" t="s">
        <v>61</v>
      </c>
    </row>
    <row r="119" spans="1:5" x14ac:dyDescent="0.2">
      <c r="A119" t="str">
        <f>HYPERLINK("https://valvearchive.com", "https://valvearchive.com")</f>
        <v>https://valvearchive.com</v>
      </c>
      <c r="B119" t="s">
        <v>5</v>
      </c>
      <c r="C119" t="str">
        <f>HYPERLINK("https://www.reddit.com/r/opendirectories/comments/gt4tt9", "Valve Archive Fan OD")</f>
        <v>Valve Archive Fan OD</v>
      </c>
      <c r="D119" t="s">
        <v>379</v>
      </c>
      <c r="E119" t="s">
        <v>61</v>
      </c>
    </row>
    <row r="120" spans="1:5" x14ac:dyDescent="0.2">
      <c r="A120" t="str">
        <f>HYPERLINK("http://37.187.21.37:8080", "http://37.187.21.37:8080")</f>
        <v>http://37.187.21.37:8080</v>
      </c>
      <c r="B120" t="s">
        <v>5</v>
      </c>
      <c r="C120" t="str">
        <f>HYPERLINK("https://www.reddit.com/r/opendirectories/comments/njrq7b", "Movies And Series, Some of them are in French")</f>
        <v>Movies And Series, Some of them are in French</v>
      </c>
      <c r="D120" t="s">
        <v>380</v>
      </c>
      <c r="E120" t="s">
        <v>51</v>
      </c>
    </row>
    <row r="121" spans="1:5" x14ac:dyDescent="0.2">
      <c r="A121" t="str">
        <f>HYPERLINK("http://www.uvm.edu/~hag/personal", "http://www.uvm.edu/~hag/personal")</f>
        <v>http://www.uvm.edu/~hag/personal</v>
      </c>
      <c r="B121" t="s">
        <v>5</v>
      </c>
      <c r="C121" t="str">
        <f>HYPERLINK("https://www.reddit.com/r/opendirectories/comments/njobnw", "a collection of charming poorly animated home movies")</f>
        <v>a collection of charming poorly animated home movies</v>
      </c>
      <c r="D121" t="s">
        <v>380</v>
      </c>
    </row>
    <row r="122" spans="1:5" x14ac:dyDescent="0.2">
      <c r="A122" t="str">
        <f>HYPERLINK("http://203.96.191.70/Data", "http://203.96.191.70/Data")</f>
        <v>http://203.96.191.70/Data</v>
      </c>
      <c r="B122" t="s">
        <v>5</v>
      </c>
      <c r="C122" t="str">
        <f>HYPERLINK("https://www.reddit.com/r/opendirectories/comments/njmtfg", "Movies + Anime + Sermons")</f>
        <v>Movies + Anime + Sermons</v>
      </c>
      <c r="D122" t="s">
        <v>380</v>
      </c>
    </row>
    <row r="123" spans="1:5" x14ac:dyDescent="0.2">
      <c r="A123" t="str">
        <f>HYPERLINK("https://jeanyves.pro/data/Anime", "https://jeanyves.pro/data/Anime")</f>
        <v>https://jeanyves.pro/data/Anime</v>
      </c>
      <c r="B123" t="s">
        <v>5</v>
      </c>
      <c r="C123" t="str">
        <f>HYPERLINK("https://www.reddit.com/r/opendirectories/comments/njmtfg", "Movies + Anime + Sermons")</f>
        <v>Movies + Anime + Sermons</v>
      </c>
      <c r="D123" t="s">
        <v>380</v>
      </c>
    </row>
    <row r="124" spans="1:5" x14ac:dyDescent="0.2">
      <c r="A124" t="str">
        <f>HYPERLINK("http://files.oakriverchurch.com", "http://files.oakriverchurch.com")</f>
        <v>http://files.oakriverchurch.com</v>
      </c>
      <c r="B124" t="s">
        <v>5</v>
      </c>
      <c r="C124" t="str">
        <f>HYPERLINK("https://www.reddit.com/r/opendirectories/comments/njmtfg", "Movies + Anime + Sermons")</f>
        <v>Movies + Anime + Sermons</v>
      </c>
      <c r="D124" t="s">
        <v>380</v>
      </c>
    </row>
    <row r="125" spans="1:5" x14ac:dyDescent="0.2">
      <c r="A125" t="str">
        <f>HYPERLINK("http://bloodmaker.anax.feralhosting.com", "http://bloodmaker.anax.feralhosting.com")</f>
        <v>http://bloodmaker.anax.feralhosting.com</v>
      </c>
      <c r="B125" t="s">
        <v>5</v>
      </c>
      <c r="C125" t="str">
        <f>HYPERLINK("https://www.reddit.com/r/opendirectories/comments/njmtfg", "Movies + Anime + Sermons")</f>
        <v>Movies + Anime + Sermons</v>
      </c>
      <c r="D125" t="s">
        <v>380</v>
      </c>
    </row>
    <row r="126" spans="1:5" x14ac:dyDescent="0.2">
      <c r="A126" t="str">
        <f>HYPERLINK("https://www.doctormacro.com/Images", "https://www.doctormacro.com/Images")</f>
        <v>https://www.doctormacro.com/Images</v>
      </c>
      <c r="B126" t="s">
        <v>5</v>
      </c>
      <c r="C126" t="str">
        <f>HYPERLINK("https://www.reddit.com/r/opendirectories/comments/nf5w4f", "movie stills and pictures of various actors")</f>
        <v>movie stills and pictures of various actors</v>
      </c>
      <c r="D126" t="s">
        <v>381</v>
      </c>
    </row>
    <row r="127" spans="1:5" x14ac:dyDescent="0.2">
      <c r="A127" t="str">
        <f>HYPERLINK("http://5.196.70.23:3000", "http://5.196.70.23:3000")</f>
        <v>http://5.196.70.23:3000</v>
      </c>
      <c r="B127" t="s">
        <v>5</v>
      </c>
      <c r="C127" t="str">
        <f>HYPERLINK("https://www.reddit.com/r/opendirectories/comments/n00szz", "Mostly movies from 1930's and 1940's NSFW")</f>
        <v>Mostly movies from 1930's and 1940's NSFW</v>
      </c>
      <c r="D127" t="s">
        <v>382</v>
      </c>
    </row>
    <row r="128" spans="1:5" x14ac:dyDescent="0.2">
      <c r="A128" t="str">
        <f>HYPERLINK("http://51.15.178.223", "http://51.15.178.223")</f>
        <v>http://51.15.178.223</v>
      </c>
      <c r="B128" t="s">
        <v>5</v>
      </c>
      <c r="C128" t="str">
        <f>HYPERLINK("https://www.reddit.com/r/opendirectories/comments/bx2qjh", "[FR/EN] Movies / TV Shows / Softwares / Music / Misc")</f>
        <v>[FR/EN] Movies / TV Shows / Softwares / Music / Misc</v>
      </c>
      <c r="D128" t="s">
        <v>273</v>
      </c>
      <c r="E128" t="s">
        <v>51</v>
      </c>
    </row>
    <row r="129" spans="1:5" x14ac:dyDescent="0.2">
      <c r="A129" t="str">
        <f>HYPERLINK("http://201.172.61.81:85", "http://201.172.61.81:85")</f>
        <v>http://201.172.61.81:85</v>
      </c>
      <c r="B129" t="s">
        <v>5</v>
      </c>
      <c r="C129" t="str">
        <f>HYPERLINK("https://www.reddit.com/r/opendirectories/comments/mgbeu7", "TV+Movies")</f>
        <v>TV+Movies</v>
      </c>
      <c r="D129" t="s">
        <v>383</v>
      </c>
      <c r="E129" t="s">
        <v>377</v>
      </c>
    </row>
    <row r="130" spans="1:5" x14ac:dyDescent="0.2">
      <c r="A130" t="str">
        <f>HYPERLINK("http://201.172.61.203:88", "http://201.172.61.203:88")</f>
        <v>http://201.172.61.203:88</v>
      </c>
      <c r="B130" t="s">
        <v>5</v>
      </c>
      <c r="C130" t="str">
        <f>HYPERLINK("https://www.reddit.com/r/opendirectories/comments/ljbxec", "Latin Movies and Series [SPA][POR][BRA] - Part 1")</f>
        <v>Latin Movies and Series [SPA][POR][BRA] - Part 1</v>
      </c>
      <c r="D130" t="s">
        <v>384</v>
      </c>
      <c r="E130" t="s">
        <v>377</v>
      </c>
    </row>
    <row r="131" spans="1:5" x14ac:dyDescent="0.2">
      <c r="A131" t="str">
        <f>HYPERLINK("https://torrent.unix-kingdom.fr", "https://torrent.unix-kingdom.fr")</f>
        <v>https://torrent.unix-kingdom.fr</v>
      </c>
      <c r="B131" t="s">
        <v>5</v>
      </c>
      <c r="C131" t="str">
        <f>HYPERLINK("https://www.reddit.com/r/opendirectories/comments/ia94f6", "Movies in french")</f>
        <v>Movies in french</v>
      </c>
      <c r="D131" t="s">
        <v>385</v>
      </c>
      <c r="E131" t="s">
        <v>51</v>
      </c>
    </row>
    <row r="132" spans="1:5" x14ac:dyDescent="0.2">
      <c r="A132" t="str">
        <f>HYPERLINK("http://lutinmalin.demeter.feralhosting.com", "http://lutinmalin.demeter.feralhosting.com")</f>
        <v>http://lutinmalin.demeter.feralhosting.com</v>
      </c>
      <c r="B132" t="s">
        <v>5</v>
      </c>
      <c r="C132" t="str">
        <f>HYPERLINK("https://www.reddit.com/r/opendirectories/comments/mkywfa", "500 greatest song!")</f>
        <v>500 greatest song!</v>
      </c>
      <c r="D132" t="s">
        <v>386</v>
      </c>
    </row>
    <row r="133" spans="1:5" x14ac:dyDescent="0.2">
      <c r="A133" t="str">
        <f>HYPERLINK("http://ns3372502.ip-37-187-7.eu/Download", "http://ns3372502.ip-37-187-7.eu/Download")</f>
        <v>http://ns3372502.ip-37-187-7.eu/Download</v>
      </c>
      <c r="B133" t="s">
        <v>5</v>
      </c>
      <c r="C133" t="str">
        <f>HYPERLINK("https://www.reddit.com/r/opendirectories/comments/mk3zib", "Anime")</f>
        <v>Anime</v>
      </c>
      <c r="D133" t="s">
        <v>387</v>
      </c>
    </row>
    <row r="134" spans="1:5" x14ac:dyDescent="0.2">
      <c r="A134" t="str">
        <f>HYPERLINK("https://www.sindark.com/genre", "https://www.sindark.com/genre")</f>
        <v>https://www.sindark.com/genre</v>
      </c>
      <c r="B134" t="s">
        <v>5</v>
      </c>
      <c r="C134" t="str">
        <f t="shared" ref="C134:C141" si="6">HYPERLINK("https://www.reddit.com/r/opendirectories/comments/mk2auw", "So Some Random...")</f>
        <v>So Some Random...</v>
      </c>
      <c r="D134" t="s">
        <v>387</v>
      </c>
    </row>
    <row r="135" spans="1:5" x14ac:dyDescent="0.2">
      <c r="A135" t="str">
        <f>HYPERLINK("http://thinkingxxx.com/content", "http://thinkingxxx.com/content")</f>
        <v>http://thinkingxxx.com/content</v>
      </c>
      <c r="B135" t="s">
        <v>5</v>
      </c>
      <c r="C135" t="str">
        <f t="shared" si="6"/>
        <v>So Some Random...</v>
      </c>
      <c r="D135" t="s">
        <v>387</v>
      </c>
    </row>
    <row r="136" spans="1:5" x14ac:dyDescent="0.2">
      <c r="A136" t="str">
        <f>HYPERLINK("https://www.chromalytic.com.au/pdf2", "https://www.chromalytic.com.au/pdf2")</f>
        <v>https://www.chromalytic.com.au/pdf2</v>
      </c>
      <c r="B136" t="s">
        <v>5</v>
      </c>
      <c r="C136" t="str">
        <f t="shared" si="6"/>
        <v>So Some Random...</v>
      </c>
      <c r="D136" t="s">
        <v>387</v>
      </c>
    </row>
    <row r="137" spans="1:5" x14ac:dyDescent="0.2">
      <c r="A137" t="str">
        <f>HYPERLINK("https://mirror.explodie.org", "https://mirror.explodie.org")</f>
        <v>https://mirror.explodie.org</v>
      </c>
      <c r="B137" t="s">
        <v>5</v>
      </c>
      <c r="C137" t="str">
        <f t="shared" si="6"/>
        <v>So Some Random...</v>
      </c>
      <c r="D137" t="s">
        <v>387</v>
      </c>
    </row>
    <row r="138" spans="1:5" x14ac:dyDescent="0.2">
      <c r="A138" t="str">
        <f>HYPERLINK("https://www.documents.clientearth.org/wp-content/uploads", "https://www.documents.clientearth.org/wp-content/uploads")</f>
        <v>https://www.documents.clientearth.org/wp-content/uploads</v>
      </c>
      <c r="B138" t="s">
        <v>5</v>
      </c>
      <c r="C138" t="str">
        <f t="shared" si="6"/>
        <v>So Some Random...</v>
      </c>
      <c r="D138" t="s">
        <v>387</v>
      </c>
    </row>
    <row r="139" spans="1:5" x14ac:dyDescent="0.2">
      <c r="A139" t="str">
        <f>HYPERLINK("http://faculty.bennington.edu", "http://faculty.bennington.edu")</f>
        <v>http://faculty.bennington.edu</v>
      </c>
      <c r="B139" t="s">
        <v>5</v>
      </c>
      <c r="C139" t="str">
        <f t="shared" si="6"/>
        <v>So Some Random...</v>
      </c>
      <c r="D139" t="s">
        <v>387</v>
      </c>
    </row>
    <row r="140" spans="1:5" x14ac:dyDescent="0.2">
      <c r="A140" t="str">
        <f>HYPERLINK("https://www.wmm.com/storage", "https://www.wmm.com/storage")</f>
        <v>https://www.wmm.com/storage</v>
      </c>
      <c r="B140" t="s">
        <v>5</v>
      </c>
      <c r="C140" t="str">
        <f t="shared" si="6"/>
        <v>So Some Random...</v>
      </c>
      <c r="D140" t="s">
        <v>387</v>
      </c>
    </row>
    <row r="141" spans="1:5" x14ac:dyDescent="0.2">
      <c r="A141" t="str">
        <f>HYPERLINK("https://www.fuckyeahfitgirls.com/wp-content/uploads", "https://www.fuckyeahfitgirls.com/wp-content/uploads")</f>
        <v>https://www.fuckyeahfitgirls.com/wp-content/uploads</v>
      </c>
      <c r="B141" t="s">
        <v>5</v>
      </c>
      <c r="C141" t="str">
        <f t="shared" si="6"/>
        <v>So Some Random...</v>
      </c>
      <c r="D141" t="s">
        <v>387</v>
      </c>
    </row>
    <row r="142" spans="1:5" x14ac:dyDescent="0.2">
      <c r="A142" t="str">
        <f>HYPERLINK("http://37.187.115.51", "http://37.187.115.51")</f>
        <v>http://37.187.115.51</v>
      </c>
      <c r="B142" t="s">
        <v>5</v>
      </c>
      <c r="C142" t="str">
        <f>HYPERLINK("https://www.reddit.com/r/opendirectories/comments/mir7wq", "Almost All Movies, Contains Only Fans of bathwater girl")</f>
        <v>Almost All Movies, Contains Only Fans of bathwater girl</v>
      </c>
      <c r="D142" t="s">
        <v>39</v>
      </c>
    </row>
    <row r="143" spans="1:5" x14ac:dyDescent="0.2">
      <c r="A143" t="str">
        <f>HYPERLINK("http://212.83.137.51", "http://212.83.137.51")</f>
        <v>http://212.83.137.51</v>
      </c>
      <c r="B143" t="s">
        <v>5</v>
      </c>
      <c r="C143" t="str">
        <f>HYPERLINK("https://www.reddit.com/r/opendirectories/comments/mgbcqd", "Japanese cartoons + movies")</f>
        <v>Japanese cartoons + movies</v>
      </c>
      <c r="D143" t="s">
        <v>383</v>
      </c>
      <c r="E143" t="s">
        <v>63</v>
      </c>
    </row>
    <row r="144" spans="1:5" x14ac:dyDescent="0.2">
      <c r="A144" t="str">
        <f>HYPERLINK("http://antoine.tv", "http://antoine.tv")</f>
        <v>http://antoine.tv</v>
      </c>
      <c r="B144" t="s">
        <v>5</v>
      </c>
      <c r="C144" t="str">
        <f>HYPERLINK("https://www.reddit.com/r/opendirectories/comments/m5gyg4", "Directory containing a bunch of short documentary clips")</f>
        <v>Directory containing a bunch of short documentary clips</v>
      </c>
      <c r="D144" t="s">
        <v>44</v>
      </c>
    </row>
    <row r="145" spans="1:5" x14ac:dyDescent="0.2">
      <c r="A145" t="str">
        <f>HYPERLINK("https://213.32.0.222", "https://213.32.0.222")</f>
        <v>https://213.32.0.222</v>
      </c>
      <c r="B145" t="s">
        <v>5</v>
      </c>
      <c r="C145" t="str">
        <f>HYPERLINK("https://www.reddit.com/r/opendirectories/comments/jthnfk", "A bunch of Japanese Animes in various languages (JAP, ENG, RUS, GER)")</f>
        <v>A bunch of Japanese Animes in various languages (JAP, ENG, RUS, GER)</v>
      </c>
      <c r="D145" t="s">
        <v>278</v>
      </c>
      <c r="E145" t="s">
        <v>279</v>
      </c>
    </row>
    <row r="146" spans="1:5" x14ac:dyDescent="0.2">
      <c r="A146" t="str">
        <f>HYPERLINK("https://ocean.marcus.pw:8008", "https://ocean.marcus.pw:8008")</f>
        <v>https://ocean.marcus.pw:8008</v>
      </c>
      <c r="B146" t="s">
        <v>5</v>
      </c>
      <c r="C146" t="str">
        <f>HYPERLINK("https://www.reddit.com/r/opendirectories/comments/m3lmuf", "Asian xxx Stars")</f>
        <v>Asian xxx Stars</v>
      </c>
      <c r="D146" t="s">
        <v>282</v>
      </c>
    </row>
    <row r="147" spans="1:5" x14ac:dyDescent="0.2">
      <c r="A147" t="str">
        <f>HYPERLINK("http://ssandars.ddns.net:8080", "http://ssandars.ddns.net:8080")</f>
        <v>http://ssandars.ddns.net:8080</v>
      </c>
      <c r="B147" t="s">
        <v>5</v>
      </c>
      <c r="C147" t="str">
        <f>HYPERLINK("https://www.reddit.com/r/opendirectories/comments/m2inay", "6 movies, nothing fancy. Low hanging fruit.")</f>
        <v>6 movies, nothing fancy. Low hanging fruit.</v>
      </c>
      <c r="D147" t="s">
        <v>388</v>
      </c>
    </row>
    <row r="148" spans="1:5" x14ac:dyDescent="0.2">
      <c r="A148" t="str">
        <f>HYPERLINK("http://91.219.96.148:88", "http://91.219.96.148:88")</f>
        <v>http://91.219.96.148:88</v>
      </c>
      <c r="B148" t="s">
        <v>5</v>
      </c>
      <c r="C148" t="str">
        <f>HYPERLINK("https://www.reddit.com/r/opendirectories/comments/lwtw57", "Movies in a slav language")</f>
        <v>Movies in a slav language</v>
      </c>
      <c r="D148" t="s">
        <v>389</v>
      </c>
    </row>
    <row r="149" spans="1:5" x14ac:dyDescent="0.2">
      <c r="A149" t="str">
        <f>HYPERLINK("http://190.2.150.22", "http://190.2.150.22")</f>
        <v>http://190.2.150.22</v>
      </c>
      <c r="B149" t="s">
        <v>5</v>
      </c>
      <c r="C149" t="str">
        <f>HYPERLINK("https://www.reddit.com/r/opendirectories/comments/lsupnf", "numbered, not titled .it + .en movies")</f>
        <v>numbered, not titled .it + .en movies</v>
      </c>
      <c r="D149" t="s">
        <v>286</v>
      </c>
    </row>
    <row r="150" spans="1:5" x14ac:dyDescent="0.2">
      <c r="A150" t="str">
        <f>HYPERLINK("http://163.172.219.142", "http://163.172.219.142")</f>
        <v>http://163.172.219.142</v>
      </c>
      <c r="B150" t="s">
        <v>5</v>
      </c>
      <c r="C150" t="str">
        <f>HYPERLINK("https://www.reddit.com/r/opendirectories/comments/lka43t", "ODs with Movies, Series, Animes ... subtitled/dubbed in European languages [GER][ITA][POL][HUN][CZE][BOS] ...")</f>
        <v>ODs with Movies, Series, Animes ... subtitled/dubbed in European languages [GER][ITA][POL][HUN][CZE][BOS] ...</v>
      </c>
      <c r="D150" t="s">
        <v>287</v>
      </c>
    </row>
    <row r="151" spans="1:5" x14ac:dyDescent="0.2">
      <c r="A151" t="str">
        <f>HYPERLINK("http://162.12.215.254/Data", "http://162.12.215.254/Data")</f>
        <v>http://162.12.215.254/Data</v>
      </c>
      <c r="B151" t="s">
        <v>5</v>
      </c>
      <c r="C151" t="str">
        <f>HYPERLINK("https://www.reddit.com/r/opendirectories/comments/lpxijh", "Nice collection of movies, games, etc.")</f>
        <v>Nice collection of movies, games, etc.</v>
      </c>
      <c r="D151" t="s">
        <v>390</v>
      </c>
    </row>
    <row r="152" spans="1:5" x14ac:dyDescent="0.2">
      <c r="A152" t="str">
        <f>HYPERLINK("http://128.199.129.79:666", "http://128.199.129.79:666")</f>
        <v>http://128.199.129.79:666</v>
      </c>
      <c r="B152" t="s">
        <v>5</v>
      </c>
      <c r="C152" t="str">
        <f>HYPERLINK("https://www.reddit.com/r/opendirectories/comments/lp8dcm", "small share")</f>
        <v>small share</v>
      </c>
      <c r="D152" t="s">
        <v>391</v>
      </c>
    </row>
    <row r="153" spans="1:5" x14ac:dyDescent="0.2">
      <c r="A153" t="str">
        <f>HYPERLINK("http://37.147.102.65:443", "http://37.147.102.65:443")</f>
        <v>http://37.147.102.65:443</v>
      </c>
      <c r="B153" t="s">
        <v>5</v>
      </c>
      <c r="C153" t="str">
        <f>HYPERLINK("https://www.reddit.com/r/opendirectories/comments/lka43t", "ODs with Movies, Series, Animes ... subtitled/dubbed in European languages [GER][ITA][POL][HUN][CZE][BOS] ...")</f>
        <v>ODs with Movies, Series, Animes ... subtitled/dubbed in European languages [GER][ITA][POL][HUN][CZE][BOS] ...</v>
      </c>
      <c r="D153" t="s">
        <v>287</v>
      </c>
    </row>
    <row r="154" spans="1:5" x14ac:dyDescent="0.2">
      <c r="A154" t="str">
        <f>HYPERLINK("http://kadak.mrak.cz", "http://kadak.mrak.cz")</f>
        <v>http://kadak.mrak.cz</v>
      </c>
      <c r="B154" t="s">
        <v>5</v>
      </c>
      <c r="C154" t="str">
        <f>HYPERLINK("https://www.reddit.com/r/opendirectories/comments/k1b690", "Czech audiobooks")</f>
        <v>Czech audiobooks</v>
      </c>
      <c r="D154" t="s">
        <v>289</v>
      </c>
    </row>
    <row r="155" spans="1:5" x14ac:dyDescent="0.2">
      <c r="A155" t="str">
        <f>HYPERLINK("http://nemo.lf1.cuni.cz/mlab/Links", "http://nemo.lf1.cuni.cz/mlab/Links")</f>
        <v>http://nemo.lf1.cuni.cz/mlab/Links</v>
      </c>
      <c r="B155" t="s">
        <v>5</v>
      </c>
      <c r="C155" t="str">
        <f>HYPERLINK("https://www.reddit.com/r/opendirectories/comments/lka43t", "ODs with Movies, Series, Animes ... subtitled/dubbed in European languages [GER][ITA][POL][HUN][CZE][BOS] ...")</f>
        <v>ODs with Movies, Series, Animes ... subtitled/dubbed in European languages [GER][ITA][POL][HUN][CZE][BOS] ...</v>
      </c>
      <c r="D155" t="s">
        <v>287</v>
      </c>
    </row>
    <row r="156" spans="1:5" x14ac:dyDescent="0.2">
      <c r="A156" t="str">
        <f>HYPERLINK("http://80.211.107.82", "http://80.211.107.82")</f>
        <v>http://80.211.107.82</v>
      </c>
      <c r="B156" t="s">
        <v>5</v>
      </c>
      <c r="C156" t="str">
        <f>HYPERLINK("https://www.reddit.com/r/opendirectories/comments/ljc4pp", "Latin Movies and Series [SPA][POR][BRA] - Part 2")</f>
        <v>Latin Movies and Series [SPA][POR][BRA] - Part 2</v>
      </c>
      <c r="D156" t="s">
        <v>384</v>
      </c>
    </row>
    <row r="157" spans="1:5" x14ac:dyDescent="0.2">
      <c r="A157" t="str">
        <f>HYPERLINK("http://201.191.1.128:8800", "http://201.191.1.128:8800")</f>
        <v>http://201.191.1.128:8800</v>
      </c>
      <c r="B157" t="s">
        <v>5</v>
      </c>
      <c r="C157" t="str">
        <f>HYPERLINK("https://www.reddit.com/r/opendirectories/comments/ljc4pp", "Latin Movies and Series [SPA][POR][BRA] - Part 2")</f>
        <v>Latin Movies and Series [SPA][POR][BRA] - Part 2</v>
      </c>
      <c r="D157" t="s">
        <v>384</v>
      </c>
    </row>
    <row r="158" spans="1:5" x14ac:dyDescent="0.2">
      <c r="A158" t="str">
        <f>HYPERLINK("http://185.148.3.146:6503", "http://185.148.3.146:6503")</f>
        <v>http://185.148.3.146:6503</v>
      </c>
      <c r="B158" t="s">
        <v>5</v>
      </c>
      <c r="C158" t="str">
        <f>HYPERLINK("https://www.reddit.com/r/opendirectories/comments/ljbxec", "Latin Movies and Series [SPA][POR][BRA] - Part 1")</f>
        <v>Latin Movies and Series [SPA][POR][BRA] - Part 1</v>
      </c>
      <c r="D158" t="s">
        <v>384</v>
      </c>
    </row>
    <row r="159" spans="1:5" x14ac:dyDescent="0.2">
      <c r="A159" t="str">
        <f>HYPERLINK("http://51.158.185.163", "http://51.158.185.163")</f>
        <v>http://51.158.185.163</v>
      </c>
      <c r="B159" t="s">
        <v>5</v>
      </c>
      <c r="C159" t="str">
        <f>HYPERLINK("https://www.reddit.com/r/opendirectories/comments/ljbxec", "Latin Movies and Series [SPA][POR][BRA] - Part 1")</f>
        <v>Latin Movies and Series [SPA][POR][BRA] - Part 1</v>
      </c>
      <c r="D159" t="s">
        <v>384</v>
      </c>
    </row>
    <row r="160" spans="1:5" x14ac:dyDescent="0.2">
      <c r="A160" t="str">
        <f>HYPERLINK("http://109.200.155.175/Музыка", "http://109.200.155.175/Музыка")</f>
        <v>http://109.200.155.175/Музыка</v>
      </c>
      <c r="B160" t="s">
        <v>5</v>
      </c>
      <c r="C160" t="str">
        <f>HYPERLINK("https://www.reddit.com/r/opendirectories/comments/li91r8", "Black Sabbath - Paranoid (1970) / Deep Purple - Machine Head (1973) / Pink Floyd - The Endless River (Deluxe) CD &amp;amp; Bluray + Lots of other stuff!!")</f>
        <v>Black Sabbath - Paranoid (1970) / Deep Purple - Machine Head (1973) / Pink Floyd - The Endless River (Deluxe) CD &amp;amp; Bluray + Lots of other stuff!!</v>
      </c>
      <c r="D160" t="s">
        <v>290</v>
      </c>
      <c r="E160" t="s">
        <v>156</v>
      </c>
    </row>
    <row r="161" spans="1:5" x14ac:dyDescent="0.2">
      <c r="A161" t="str">
        <f>HYPERLINK("http://109.200.155.175", "http://109.200.155.175")</f>
        <v>http://109.200.155.175</v>
      </c>
      <c r="B161" t="s">
        <v>5</v>
      </c>
      <c r="C161" t="str">
        <f>HYPERLINK("https://www.reddit.com/r/opendirectories/comments/li91r8", "Black Sabbath - Paranoid (1970) / Deep Purple - Machine Head (1973) / Pink Floyd - The Endless River (Deluxe) CD &amp;amp; Bluray + Lots of other stuff!!")</f>
        <v>Black Sabbath - Paranoid (1970) / Deep Purple - Machine Head (1973) / Pink Floyd - The Endless River (Deluxe) CD &amp;amp; Bluray + Lots of other stuff!!</v>
      </c>
      <c r="D161" t="s">
        <v>290</v>
      </c>
      <c r="E161" t="s">
        <v>156</v>
      </c>
    </row>
    <row r="162" spans="1:5" x14ac:dyDescent="0.2">
      <c r="A162" t="str">
        <f>HYPERLINK("http://80.211.190.99", "http://80.211.190.99")</f>
        <v>http://80.211.190.99</v>
      </c>
      <c r="B162" t="s">
        <v>5</v>
      </c>
      <c r="C162" t="str">
        <f>HYPERLINK("https://www.reddit.com/r/opendirectories/comments/lhior2", "OD with TV Shows")</f>
        <v>OD with TV Shows</v>
      </c>
      <c r="D162" t="s">
        <v>291</v>
      </c>
    </row>
    <row r="163" spans="1:5" x14ac:dyDescent="0.2">
      <c r="A163" t="str">
        <f>HYPERLINK("http://195.181.243.171", "http://195.181.243.171")</f>
        <v>http://195.181.243.171</v>
      </c>
      <c r="B163" t="s">
        <v>5</v>
      </c>
      <c r="C163" t="str">
        <f>HYPERLINK("https://www.reddit.com/r/opendirectories/comments/lh6geh", "A couple dozen anime series")</f>
        <v>A couple dozen anime series</v>
      </c>
      <c r="D163" t="s">
        <v>291</v>
      </c>
    </row>
    <row r="164" spans="1:5" x14ac:dyDescent="0.2">
      <c r="A164" t="str">
        <f>HYPERLINK("http://76.27.28.30/files", "http://76.27.28.30/files")</f>
        <v>http://76.27.28.30/files</v>
      </c>
      <c r="B164" t="s">
        <v>5</v>
      </c>
      <c r="C164" t="str">
        <f>HYPERLINK("https://www.reddit.com/r/opendirectories/comments/lcrsmi", "Index of /files/TV/Movies fast download movies and anime")</f>
        <v>Index of /files/TV/Movies fast download movies and anime</v>
      </c>
      <c r="D164" t="s">
        <v>392</v>
      </c>
    </row>
    <row r="165" spans="1:5" x14ac:dyDescent="0.2">
      <c r="A165" t="str">
        <f>HYPERLINK("http://www.phase9.tv/wp-content/uploads", "http://www.phase9.tv/wp-content/uploads")</f>
        <v>http://www.phase9.tv/wp-content/uploads</v>
      </c>
      <c r="B165" t="s">
        <v>5</v>
      </c>
      <c r="C165" t="str">
        <f>HYPERLINK("https://www.reddit.com/r/opendirectories/comments/lbpvd8", "Posters of Movies &amp;amp; TV Shows")</f>
        <v>Posters of Movies &amp;amp; TV Shows</v>
      </c>
      <c r="D165" t="s">
        <v>50</v>
      </c>
    </row>
    <row r="166" spans="1:5" x14ac:dyDescent="0.2">
      <c r="A166" t="str">
        <f>HYPERLINK("http://35.171.144.223", "http://35.171.144.223")</f>
        <v>http://35.171.144.223</v>
      </c>
      <c r="B166" t="s">
        <v>5</v>
      </c>
      <c r="C166" t="str">
        <f>HYPERLINK("https://www.reddit.com/r/opendirectories/comments/l1j5i7", "Bunch of VR Porn")</f>
        <v>Bunch of VR Porn</v>
      </c>
      <c r="D166" t="s">
        <v>293</v>
      </c>
    </row>
    <row r="167" spans="1:5" x14ac:dyDescent="0.2">
      <c r="A167" t="str">
        <f>HYPERLINK("https://artserotica.com/videos", "https://artserotica.com/videos")</f>
        <v>https://artserotica.com/videos</v>
      </c>
      <c r="B167" t="s">
        <v>5</v>
      </c>
      <c r="C167" t="str">
        <f>HYPERLINK("https://www.reddit.com/r/opendirectories/comments/l7z8en", "Largish collection of NSFW videos")</f>
        <v>Largish collection of NSFW videos</v>
      </c>
      <c r="D167" t="s">
        <v>294</v>
      </c>
    </row>
    <row r="168" spans="1:5" x14ac:dyDescent="0.2">
      <c r="A168" t="str">
        <f>HYPERLINK("http://hcmaslov.d-real.sci-nnov.ru", "http://hcmaslov.d-real.sci-nnov.ru")</f>
        <v>http://hcmaslov.d-real.sci-nnov.ru</v>
      </c>
      <c r="B168" t="s">
        <v>5</v>
      </c>
      <c r="C168" t="str">
        <f>HYPERLINK("https://www.reddit.com/r/opendirectories/comments/6vw8h5", "Russian guy's public folder of mp3s, family photos, cat pictures, and documents")</f>
        <v>Russian guy's public folder of mp3s, family photos, cat pictures, and documents</v>
      </c>
      <c r="D168" t="s">
        <v>393</v>
      </c>
      <c r="E168" t="s">
        <v>156</v>
      </c>
    </row>
    <row r="169" spans="1:5" x14ac:dyDescent="0.2">
      <c r="A169" t="str">
        <f>HYPERLINK("https://chiru.no/dl/Anime%20lossless%20OP%20ED%20IN%20collection", "https://chiru.no/dl/Anime%20lossless%20OP%20ED%20IN%20collection")</f>
        <v>https://chiru.no/dl/Anime%20lossless%20OP%20ED%20IN%20collection</v>
      </c>
      <c r="B169" t="s">
        <v>5</v>
      </c>
      <c r="C169" t="str">
        <f>HYPERLINK("https://www.reddit.com/r/opendirectories/comments/kxcqp1", "A lot of FLAC music from anime + fast download speed")</f>
        <v>A lot of FLAC music from anime + fast download speed</v>
      </c>
      <c r="D169" t="s">
        <v>394</v>
      </c>
    </row>
    <row r="170" spans="1:5" x14ac:dyDescent="0.2">
      <c r="A170" t="str">
        <f>HYPERLINK("https://csclub.uwaterloo.ca/~pbarfuss", "https://csclub.uwaterloo.ca/~pbarfuss")</f>
        <v>https://csclub.uwaterloo.ca/~pbarfuss</v>
      </c>
      <c r="B170" t="s">
        <v>5</v>
      </c>
      <c r="C170" t="str">
        <f>HYPERLINK("https://www.reddit.com/r/opendirectories/comments/kw0aeo", "A mix of random things like research papers, midi files, anime girls, and videos")</f>
        <v>A mix of random things like research papers, midi files, anime girls, and videos</v>
      </c>
      <c r="D170" t="s">
        <v>295</v>
      </c>
    </row>
    <row r="171" spans="1:5" x14ac:dyDescent="0.2">
      <c r="A171" t="str">
        <f>HYPERLINK("http://212.224.80.123:8080", "http://212.224.80.123:8080")</f>
        <v>http://212.224.80.123:8080</v>
      </c>
      <c r="B171" t="s">
        <v>5</v>
      </c>
      <c r="C171" t="str">
        <f>HYPERLINK("https://www.reddit.com/r/opendirectories/comments/kfotpk", "Naughty FLVs")</f>
        <v>Naughty FLVs</v>
      </c>
      <c r="D171" t="s">
        <v>298</v>
      </c>
    </row>
    <row r="172" spans="1:5" x14ac:dyDescent="0.2">
      <c r="A172" t="str">
        <f>HYPERLINK("http://www.adultcapital.club", "http://www.adultcapital.club")</f>
        <v>http://www.adultcapital.club</v>
      </c>
      <c r="B172" t="s">
        <v>5</v>
      </c>
      <c r="D172" t="s">
        <v>301</v>
      </c>
    </row>
    <row r="173" spans="1:5" x14ac:dyDescent="0.2">
      <c r="A173" t="str">
        <f>HYPERLINK("http://www1.zhencang.net:8080", "http://www1.zhencang.net:8080")</f>
        <v>http://www1.zhencang.net:8080</v>
      </c>
      <c r="B173" t="s">
        <v>5</v>
      </c>
      <c r="C173" t="str">
        <f>HYPERLINK("https://www.reddit.com/r/opendirectories/comments/k4al9d", "Chinese... videos?")</f>
        <v>Chinese... videos?</v>
      </c>
      <c r="D173" t="s">
        <v>305</v>
      </c>
      <c r="E173" t="s">
        <v>61</v>
      </c>
    </row>
    <row r="174" spans="1:5" x14ac:dyDescent="0.2">
      <c r="A174" t="str">
        <f>HYPERLINK("https://engorgedtits.com/wp-content/uploads", "https://engorgedtits.com/wp-content/uploads")</f>
        <v>https://engorgedtits.com/wp-content/uploads</v>
      </c>
      <c r="B174" t="s">
        <v>5</v>
      </c>
      <c r="C174" t="str">
        <f>HYPERLINK("https://www.reddit.com/r/opendirectories/comments/k2n3fw", "decent size Dir, Huge size Tits, some pics and movies NSFW")</f>
        <v>decent size Dir, Huge size Tits, some pics and movies NSFW</v>
      </c>
      <c r="D174" t="s">
        <v>395</v>
      </c>
    </row>
    <row r="175" spans="1:5" x14ac:dyDescent="0.2">
      <c r="A175" t="str">
        <f>HYPERLINK("https://www.23ongsa.com/UknowIKnow", "https://www.23ongsa.com/UknowIKnow")</f>
        <v>https://www.23ongsa.com/UknowIKnow</v>
      </c>
      <c r="B175" t="s">
        <v>5</v>
      </c>
      <c r="C175" t="str">
        <f>HYPERLINK("https://www.reddit.com/r/opendirectories/comments/k2j2fs", "JAV")</f>
        <v>JAV</v>
      </c>
      <c r="D175" t="s">
        <v>395</v>
      </c>
    </row>
    <row r="176" spans="1:5" x14ac:dyDescent="0.2">
      <c r="A176" t="str">
        <f>HYPERLINK("http://54.36.109.218:81/cetvrti", "http://54.36.109.218:81/cetvrti")</f>
        <v>http://54.36.109.218:81/cetvrti</v>
      </c>
      <c r="B176" t="s">
        <v>5</v>
      </c>
      <c r="C176" t="str">
        <f>HYPERLINK("https://www.reddit.com/r/opendirectories/comments/k23sqr", "Movies stand up comedy etc. But it has weird namming scheme.")</f>
        <v>Movies stand up comedy etc. But it has weird namming scheme.</v>
      </c>
      <c r="D176" t="s">
        <v>58</v>
      </c>
    </row>
    <row r="177" spans="1:5" x14ac:dyDescent="0.2">
      <c r="A177" t="str">
        <f>HYPERLINK("https://home.pilsfree.net", "https://home.pilsfree.net")</f>
        <v>https://home.pilsfree.net</v>
      </c>
      <c r="B177" t="s">
        <v>5</v>
      </c>
      <c r="C177" t="str">
        <f>HYPERLINK("https://www.reddit.com/r/opendirectories/comments/ape43b", "list of RE-POST's")</f>
        <v>list of RE-POST's</v>
      </c>
      <c r="D177" t="s">
        <v>396</v>
      </c>
    </row>
    <row r="178" spans="1:5" x14ac:dyDescent="0.2">
      <c r="A178" t="str">
        <f>HYPERLINK("http://178.32.222.201", "http://178.32.222.201")</f>
        <v>http://178.32.222.201</v>
      </c>
      <c r="B178" t="s">
        <v>5</v>
      </c>
      <c r="C178" t="str">
        <f>HYPERLINK("https://www.reddit.com/r/opendirectories/comments/jzadva", "Collection of anime")</f>
        <v>Collection of anime</v>
      </c>
      <c r="D178" t="s">
        <v>59</v>
      </c>
    </row>
    <row r="179" spans="1:5" x14ac:dyDescent="0.2">
      <c r="A179" t="str">
        <f>HYPERLINK("http://real-uksex.com/wp-content/uploads", "http://real-uksex.com/wp-content/uploads")</f>
        <v>http://real-uksex.com/wp-content/uploads</v>
      </c>
      <c r="B179" t="s">
        <v>5</v>
      </c>
      <c r="C179" t="str">
        <f>HYPERLINK("https://www.reddit.com/r/opendirectories/comments/jyxyph", "Loads of UK adult images &amp;amp; movies NSFW")</f>
        <v>Loads of UK adult images &amp;amp; movies NSFW</v>
      </c>
      <c r="D179" t="s">
        <v>397</v>
      </c>
    </row>
    <row r="180" spans="1:5" x14ac:dyDescent="0.2">
      <c r="A180" t="str">
        <f>HYPERLINK("http://45.93.83.161", "http://45.93.83.161")</f>
        <v>http://45.93.83.161</v>
      </c>
      <c r="B180" t="s">
        <v>5</v>
      </c>
      <c r="C180" t="str">
        <f>HYPERLINK("https://www.reddit.com/r/opendirectories/comments/jue87o", "Want to travel during the lockdown ? Welcome to Dominican Republic - Movies, shows, music ... in spanish obviously")</f>
        <v>Want to travel during the lockdown ? Welcome to Dominican Republic - Movies, shows, music ... in spanish obviously</v>
      </c>
      <c r="D180" t="s">
        <v>398</v>
      </c>
      <c r="E180" t="s">
        <v>377</v>
      </c>
    </row>
    <row r="181" spans="1:5" x14ac:dyDescent="0.2">
      <c r="A181" t="str">
        <f>HYPERLINK("https://74.208.85.26", "https://74.208.85.26")</f>
        <v>https://74.208.85.26</v>
      </c>
      <c r="B181" t="s">
        <v>5</v>
      </c>
      <c r="C181" t="str">
        <f>HYPERLINK("https://www.reddit.com/r/opendirectories/comments/jthnfk", "A bunch of Japanese Animes in various languages (JAP, ENG, RUS, GER)")</f>
        <v>A bunch of Japanese Animes in various languages (JAP, ENG, RUS, GER)</v>
      </c>
      <c r="D181" t="s">
        <v>278</v>
      </c>
      <c r="E181" t="s">
        <v>279</v>
      </c>
    </row>
    <row r="182" spans="1:5" x14ac:dyDescent="0.2">
      <c r="A182" t="str">
        <f>HYPERLINK("http://178.32.222.82:8080", "http://178.32.222.82:8080")</f>
        <v>http://178.32.222.82:8080</v>
      </c>
      <c r="B182" t="s">
        <v>5</v>
      </c>
      <c r="C182" t="str">
        <f>HYPERLINK("https://www.reddit.com/r/opendirectories/comments/jthnfk", "A bunch of Japanese Animes in various languages (JAP, ENG, RUS, GER)")</f>
        <v>A bunch of Japanese Animes in various languages (JAP, ENG, RUS, GER)</v>
      </c>
      <c r="D182" t="s">
        <v>278</v>
      </c>
      <c r="E182" t="s">
        <v>279</v>
      </c>
    </row>
    <row r="183" spans="1:5" x14ac:dyDescent="0.2">
      <c r="A183" t="str">
        <f>HYPERLINK("http://177.36.2.21", "http://177.36.2.21")</f>
        <v>http://177.36.2.21</v>
      </c>
      <c r="B183" t="s">
        <v>5</v>
      </c>
      <c r="C183" t="str">
        <f>HYPERLINK("https://www.reddit.com/r/opendirectories/comments/jsa66s", "Latin movies/series or movies/series dubbed/subtitled in [POR][SPA] - Part 1")</f>
        <v>Latin movies/series or movies/series dubbed/subtitled in [POR][SPA] - Part 1</v>
      </c>
      <c r="D183" t="s">
        <v>266</v>
      </c>
    </row>
    <row r="184" spans="1:5" x14ac:dyDescent="0.2">
      <c r="A184" t="str">
        <f>HYPERLINK("http://195.154.80.170:7700", "http://195.154.80.170:7700")</f>
        <v>http://195.154.80.170:7700</v>
      </c>
      <c r="B184" t="s">
        <v>5</v>
      </c>
      <c r="C184" t="str">
        <f>HYPERLINK("https://www.reddit.com/r/opendirectories/comments/jsa66s", "Latin movies/series or movies/series dubbed/subtitled in [POR][SPA] - Part 1")</f>
        <v>Latin movies/series or movies/series dubbed/subtitled in [POR][SPA] - Part 1</v>
      </c>
      <c r="D184" t="s">
        <v>266</v>
      </c>
    </row>
    <row r="185" spans="1:5" x14ac:dyDescent="0.2">
      <c r="A185" t="str">
        <f>HYPERLINK("http://218.72.252.150:9004", "http://218.72.252.150:9004")</f>
        <v>http://218.72.252.150:9004</v>
      </c>
      <c r="B185" t="s">
        <v>5</v>
      </c>
      <c r="C185" t="str">
        <f>HYPERLINK("https://www.reddit.com/r/opendirectories/comments/jsa626", "JAV Galore, Hentai, Amat, ...")</f>
        <v>JAV Galore, Hentai, Amat, ...</v>
      </c>
      <c r="D185" t="s">
        <v>266</v>
      </c>
    </row>
    <row r="186" spans="1:5" x14ac:dyDescent="0.2">
      <c r="A186" t="str">
        <f>HYPERLINK("https://107.175.63.104", "https://107.175.63.104")</f>
        <v>https://107.175.63.104</v>
      </c>
      <c r="B186" t="s">
        <v>5</v>
      </c>
      <c r="C186" t="str">
        <f>HYPERLINK("https://www.reddit.com/r/opendirectories/comments/jsa626", "JAV Galore, Hentai, Amat, ...")</f>
        <v>JAV Galore, Hentai, Amat, ...</v>
      </c>
      <c r="D186" t="s">
        <v>266</v>
      </c>
    </row>
    <row r="187" spans="1:5" x14ac:dyDescent="0.2">
      <c r="A187" t="str">
        <f>HYPERLINK("http://91.205.172.13:9000", "http://91.205.172.13:9000")</f>
        <v>http://91.205.172.13:9000</v>
      </c>
      <c r="B187" t="s">
        <v>5</v>
      </c>
      <c r="C187" t="str">
        <f>HYPERLINK("https://www.reddit.com/r/opendirectories/comments/jsa626", "JAV Galore, Hentai, Amat, ...")</f>
        <v>JAV Galore, Hentai, Amat, ...</v>
      </c>
      <c r="D187" t="s">
        <v>266</v>
      </c>
    </row>
    <row r="188" spans="1:5" x14ac:dyDescent="0.2">
      <c r="A188" t="str">
        <f>HYPERLINK("https://37.187.96.179", "https://37.187.96.179")</f>
        <v>https://37.187.96.179</v>
      </c>
      <c r="B188" t="s">
        <v>5</v>
      </c>
      <c r="C188" t="str">
        <f>HYPERLINK("https://www.reddit.com/r/opendirectories/comments/jsa626", "JAV Galore, Hentai, Amat, ...")</f>
        <v>JAV Galore, Hentai, Amat, ...</v>
      </c>
      <c r="D188" t="s">
        <v>266</v>
      </c>
    </row>
    <row r="189" spans="1:5" x14ac:dyDescent="0.2">
      <c r="A189" t="str">
        <f>HYPERLINK("http://51.15.25.24", "http://51.15.25.24")</f>
        <v>http://51.15.25.24</v>
      </c>
      <c r="B189" t="s">
        <v>5</v>
      </c>
      <c r="C189" t="str">
        <f>HYPERLINK("https://www.reddit.com/r/opendirectories/comments/jsa626", "JAV Galore, Hentai, Amat, ...")</f>
        <v>JAV Galore, Hentai, Amat, ...</v>
      </c>
      <c r="D189" t="s">
        <v>266</v>
      </c>
    </row>
    <row r="190" spans="1:5" x14ac:dyDescent="0.2">
      <c r="A190" t="str">
        <f>HYPERLINK("http://118.69.205.201:8000", "http://118.69.205.201:8000")</f>
        <v>http://118.69.205.201:8000</v>
      </c>
      <c r="B190" t="s">
        <v>5</v>
      </c>
      <c r="C190" t="str">
        <f>HYPERLINK("https://www.reddit.com/r/opendirectories/comments/jrulnn", "Movies/Series in English - Part 7")</f>
        <v>Movies/Series in English - Part 7</v>
      </c>
      <c r="D190" t="s">
        <v>368</v>
      </c>
      <c r="E190" t="s">
        <v>14</v>
      </c>
    </row>
    <row r="191" spans="1:5" x14ac:dyDescent="0.2">
      <c r="A191" t="str">
        <f>HYPERLINK("https://75.87.136.166", "https://75.87.136.166")</f>
        <v>https://75.87.136.166</v>
      </c>
      <c r="B191" t="s">
        <v>5</v>
      </c>
      <c r="C191" t="str">
        <f>HYPERLINK("https://www.reddit.com/r/opendirectories/comments/jrulnn", "Movies/Series in English - Part 7")</f>
        <v>Movies/Series in English - Part 7</v>
      </c>
      <c r="D191" t="s">
        <v>368</v>
      </c>
      <c r="E191" t="s">
        <v>14</v>
      </c>
    </row>
    <row r="192" spans="1:5" x14ac:dyDescent="0.2">
      <c r="A192" t="str">
        <f>HYPERLINK("http://170.24.185.250", "http://170.24.185.250")</f>
        <v>http://170.24.185.250</v>
      </c>
      <c r="B192" t="s">
        <v>5</v>
      </c>
      <c r="C192" t="str">
        <f>HYPERLINK("https://www.reddit.com/r/opendirectories/comments/jrulnn", "Movies/Series in English - Part 7")</f>
        <v>Movies/Series in English - Part 7</v>
      </c>
      <c r="D192" t="s">
        <v>368</v>
      </c>
      <c r="E192" t="s">
        <v>14</v>
      </c>
    </row>
    <row r="193" spans="1:5" x14ac:dyDescent="0.2">
      <c r="A193" t="str">
        <f>HYPERLINK("http://173.249.25.170", "http://173.249.25.170")</f>
        <v>http://173.249.25.170</v>
      </c>
      <c r="B193" t="s">
        <v>5</v>
      </c>
      <c r="C193" t="str">
        <f>HYPERLINK("https://www.reddit.com/r/opendirectories/comments/jrulnn", "Movies/Series in English - Part 7")</f>
        <v>Movies/Series in English - Part 7</v>
      </c>
      <c r="D193" t="s">
        <v>368</v>
      </c>
      <c r="E193" t="s">
        <v>14</v>
      </c>
    </row>
    <row r="194" spans="1:5" x14ac:dyDescent="0.2">
      <c r="A194" t="str">
        <f>HYPERLINK("http://118.69.205.220:8000", "http://118.69.205.220:8000")</f>
        <v>http://118.69.205.220:8000</v>
      </c>
      <c r="B194" t="s">
        <v>5</v>
      </c>
      <c r="C194" t="str">
        <f>HYPERLINK("https://www.reddit.com/r/opendirectories/comments/jru1jr", "Movies/Series in English - Part 6")</f>
        <v>Movies/Series in English - Part 6</v>
      </c>
      <c r="D194" t="s">
        <v>368</v>
      </c>
      <c r="E194" t="s">
        <v>14</v>
      </c>
    </row>
    <row r="195" spans="1:5" x14ac:dyDescent="0.2">
      <c r="A195" t="str">
        <f>HYPERLINK("http://192.227.134.252", "http://192.227.134.252")</f>
        <v>http://192.227.134.252</v>
      </c>
      <c r="B195" t="s">
        <v>5</v>
      </c>
      <c r="C195" t="str">
        <f>HYPERLINK("https://www.reddit.com/r/opendirectories/comments/jrn6du", "Movies/Series in English - Part 5")</f>
        <v>Movies/Series in English - Part 5</v>
      </c>
      <c r="D195" t="s">
        <v>368</v>
      </c>
      <c r="E195" t="s">
        <v>14</v>
      </c>
    </row>
    <row r="196" spans="1:5" x14ac:dyDescent="0.2">
      <c r="A196" t="str">
        <f>HYPERLINK("http://71.201.189.41:8800", "http://71.201.189.41:8800")</f>
        <v>http://71.201.189.41:8800</v>
      </c>
      <c r="B196" t="s">
        <v>5</v>
      </c>
      <c r="C196" t="str">
        <f>HYPERLINK("https://www.reddit.com/r/opendirectories/comments/jrn6du", "Movies/Series in English - Part 5")</f>
        <v>Movies/Series in English - Part 5</v>
      </c>
      <c r="D196" t="s">
        <v>368</v>
      </c>
      <c r="E196" t="s">
        <v>14</v>
      </c>
    </row>
    <row r="197" spans="1:5" x14ac:dyDescent="0.2">
      <c r="A197" t="str">
        <f>HYPERLINK("http://128.199.142.138:8888", "http://128.199.142.138:8888")</f>
        <v>http://128.199.142.138:8888</v>
      </c>
      <c r="B197" t="s">
        <v>5</v>
      </c>
      <c r="C197" t="str">
        <f>HYPERLINK("https://www.reddit.com/r/opendirectories/comments/jrmnsj", "Movies/Series in English - Part 4")</f>
        <v>Movies/Series in English - Part 4</v>
      </c>
      <c r="D197" t="s">
        <v>368</v>
      </c>
      <c r="E197" t="s">
        <v>14</v>
      </c>
    </row>
    <row r="198" spans="1:5" x14ac:dyDescent="0.2">
      <c r="A198" t="str">
        <f>HYPERLINK("http://118.69.205.208:8000", "http://118.69.205.208:8000")</f>
        <v>http://118.69.205.208:8000</v>
      </c>
      <c r="B198" t="s">
        <v>5</v>
      </c>
      <c r="C198" t="str">
        <f>HYPERLINK("https://www.reddit.com/r/opendirectories/comments/jrmnsj", "Movies/Series in English - Part 4")</f>
        <v>Movies/Series in English - Part 4</v>
      </c>
      <c r="D198" t="s">
        <v>368</v>
      </c>
      <c r="E198" t="s">
        <v>14</v>
      </c>
    </row>
    <row r="199" spans="1:5" x14ac:dyDescent="0.2">
      <c r="A199" t="str">
        <f>HYPERLINK("http://138.201.197.112", "http://138.201.197.112")</f>
        <v>http://138.201.197.112</v>
      </c>
      <c r="B199" t="s">
        <v>5</v>
      </c>
      <c r="C199" t="str">
        <f>HYPERLINK("https://www.reddit.com/r/opendirectories/comments/jrmnsj", "Movies/Series in English - Part 4")</f>
        <v>Movies/Series in English - Part 4</v>
      </c>
      <c r="D199" t="s">
        <v>368</v>
      </c>
      <c r="E199" t="s">
        <v>14</v>
      </c>
    </row>
    <row r="200" spans="1:5" x14ac:dyDescent="0.2">
      <c r="A200" t="str">
        <f>HYPERLINK("http://173.82.94.132:81", "http://173.82.94.132:81")</f>
        <v>http://173.82.94.132:81</v>
      </c>
      <c r="B200" t="s">
        <v>5</v>
      </c>
      <c r="C200" t="str">
        <f>HYPERLINK("https://www.reddit.com/r/opendirectories/comments/jrmnsj", "Movies/Series in English - Part 4")</f>
        <v>Movies/Series in English - Part 4</v>
      </c>
      <c r="D200" t="s">
        <v>368</v>
      </c>
      <c r="E200" t="s">
        <v>14</v>
      </c>
    </row>
    <row r="201" spans="1:5" x14ac:dyDescent="0.2">
      <c r="A201" t="str">
        <f>HYPERLINK("http://173.82.106.129:8090", "http://173.82.106.129:8090")</f>
        <v>http://173.82.106.129:8090</v>
      </c>
      <c r="B201" t="s">
        <v>5</v>
      </c>
      <c r="C201" t="str">
        <f>HYPERLINK("https://www.reddit.com/r/opendirectories/comments/jrmnsj", "Movies/Series in English - Part 4")</f>
        <v>Movies/Series in English - Part 4</v>
      </c>
      <c r="D201" t="s">
        <v>368</v>
      </c>
      <c r="E201" t="s">
        <v>14</v>
      </c>
    </row>
    <row r="202" spans="1:5" x14ac:dyDescent="0.2">
      <c r="A202" t="str">
        <f>HYPERLINK("http://62.220.128.57", "http://62.220.128.57")</f>
        <v>http://62.220.128.57</v>
      </c>
      <c r="B202" t="s">
        <v>5</v>
      </c>
      <c r="C202" t="str">
        <f>HYPERLINK("https://www.reddit.com/r/opendirectories/comments/jrkuya", "Movies/Series in English - Part 1")</f>
        <v>Movies/Series in English - Part 1</v>
      </c>
      <c r="D202" t="s">
        <v>368</v>
      </c>
      <c r="E202" t="s">
        <v>14</v>
      </c>
    </row>
    <row r="203" spans="1:5" x14ac:dyDescent="0.2">
      <c r="A203" t="str">
        <f>HYPERLINK("http://62.210.132.17", "http://62.210.132.17")</f>
        <v>http://62.210.132.17</v>
      </c>
      <c r="B203" t="s">
        <v>5</v>
      </c>
      <c r="C203" t="str">
        <f>HYPERLINK("https://www.reddit.com/r/opendirectories/comments/jrkv4r", "Movies/Series in English - Part 3")</f>
        <v>Movies/Series in English - Part 3</v>
      </c>
      <c r="D203" t="s">
        <v>368</v>
      </c>
      <c r="E203" t="s">
        <v>14</v>
      </c>
    </row>
    <row r="204" spans="1:5" x14ac:dyDescent="0.2">
      <c r="A204" t="str">
        <f>HYPERLINK("https://51.15.61.197", "https://51.15.61.197")</f>
        <v>https://51.15.61.197</v>
      </c>
      <c r="B204" t="s">
        <v>5</v>
      </c>
      <c r="C204" t="str">
        <f>HYPERLINK("https://www.reddit.com/r/opendirectories/comments/jrkv4r", "Movies/Series in English - Part 3")</f>
        <v>Movies/Series in English - Part 3</v>
      </c>
      <c r="D204" t="s">
        <v>368</v>
      </c>
      <c r="E204" t="s">
        <v>14</v>
      </c>
    </row>
    <row r="205" spans="1:5" x14ac:dyDescent="0.2">
      <c r="A205" t="str">
        <f>HYPERLINK("http://ftphost.nohum.org/video", "http://ftphost.nohum.org/video")</f>
        <v>http://ftphost.nohum.org/video</v>
      </c>
      <c r="B205" t="s">
        <v>5</v>
      </c>
      <c r="C205" t="str">
        <f>HYPERLINK("https://www.reddit.com/r/opendirectories/comments/jo3gk7", "Small selection of movies and history channel collections - all mp4 format")</f>
        <v>Small selection of movies and history channel collections - all mp4 format</v>
      </c>
      <c r="D205" t="s">
        <v>309</v>
      </c>
    </row>
    <row r="206" spans="1:5" x14ac:dyDescent="0.2">
      <c r="A206" t="str">
        <f>HYPERLINK("https://s10.mangovideo.pw", "https://s10.mangovideo.pw")</f>
        <v>https://s10.mangovideo.pw</v>
      </c>
      <c r="B206" t="s">
        <v>5</v>
      </c>
      <c r="C206" t="str">
        <f>HYPERLINK("https://www.reddit.com/r/opendirectories/comments/jb2g3v", "Lots of porn videos.")</f>
        <v>Lots of porn videos.</v>
      </c>
      <c r="D206" t="s">
        <v>313</v>
      </c>
    </row>
    <row r="207" spans="1:5" x14ac:dyDescent="0.2">
      <c r="A207" t="str">
        <f>HYPERLINK("http://j4uvod.club", "http://j4uvod.club")</f>
        <v>http://j4uvod.club</v>
      </c>
      <c r="B207" t="s">
        <v>5</v>
      </c>
      <c r="C207" t="str">
        <f>HYPERLINK("https://www.reddit.com/r/opendirectories/comments/j5njim", "open directory with movies and series. Badly organised.")</f>
        <v>open directory with movies and series. Badly organised.</v>
      </c>
      <c r="D207" t="s">
        <v>399</v>
      </c>
    </row>
    <row r="208" spans="1:5" x14ac:dyDescent="0.2">
      <c r="A208" t="str">
        <f>HYPERLINK("http://ichigo69.mayulive.com/manga", "http://ichigo69.mayulive.com/manga")</f>
        <v>http://ichigo69.mayulive.com/manga</v>
      </c>
      <c r="B208" t="s">
        <v>5</v>
      </c>
      <c r="C208" t="str">
        <f>HYPERLINK("https://www.reddit.com/r/opendirectories/comments/hjnzdo", "index of anime picture books")</f>
        <v>index of anime picture books</v>
      </c>
      <c r="D208" t="s">
        <v>81</v>
      </c>
    </row>
    <row r="209" spans="1:5" x14ac:dyDescent="0.2">
      <c r="A209" t="str">
        <f>HYPERLINK("http://www.evanchar.com:9999", "http://www.evanchar.com:9999")</f>
        <v>http://www.evanchar.com:9999</v>
      </c>
      <c r="B209" t="s">
        <v>5</v>
      </c>
      <c r="C209" t="str">
        <f>HYPERLINK("https://www.reddit.com/r/opendirectories/comments/isitd3", "Good selection of 31 movies in AVI format. File sizes are on the small side, so don't expect jaw dropping video quality. Up Directory has a moderate sized collection of Electronic/DJ music.")</f>
        <v>Good selection of 31 movies in AVI format. File sizes are on the small side, so don't expect jaw dropping video quality. Up Directory has a moderate sized collection of Electronic/DJ music.</v>
      </c>
      <c r="D209" t="s">
        <v>314</v>
      </c>
    </row>
    <row r="210" spans="1:5" x14ac:dyDescent="0.2">
      <c r="A210" t="str">
        <f>HYPERLINK("http://118.69.205.207:8000", "http://118.69.205.207:8000")</f>
        <v>http://118.69.205.207:8000</v>
      </c>
      <c r="B210" t="s">
        <v>5</v>
      </c>
      <c r="C210" t="str">
        <f>HYPERLINK("https://www.reddit.com/r/opendirectories/comments/irvb69", "A bunch of movies, series ... never published here ! Part 4")</f>
        <v>A bunch of movies, series ... never published here ! Part 4</v>
      </c>
      <c r="D210" t="s">
        <v>302</v>
      </c>
    </row>
    <row r="211" spans="1:5" x14ac:dyDescent="0.2">
      <c r="A211" t="str">
        <f>HYPERLINK("http://88.99.164.83", "http://88.99.164.83")</f>
        <v>http://88.99.164.83</v>
      </c>
      <c r="B211" t="s">
        <v>5</v>
      </c>
      <c r="C211" t="str">
        <f>HYPERLINK("https://www.reddit.com/r/opendirectories/comments/irow8v", "JAV")</f>
        <v>JAV</v>
      </c>
      <c r="D211" t="s">
        <v>302</v>
      </c>
    </row>
    <row r="212" spans="1:5" x14ac:dyDescent="0.2">
      <c r="A212" t="str">
        <f>HYPERLINK("http://176.31.115.63", "http://176.31.115.63")</f>
        <v>http://176.31.115.63</v>
      </c>
      <c r="B212" t="s">
        <v>5</v>
      </c>
      <c r="C212" t="str">
        <f>HYPERLINK("https://www.reddit.com/r/opendirectories/comments/irnav2", "A bunch of movies, series ... never published here ! Part 2")</f>
        <v>A bunch of movies, series ... never published here ! Part 2</v>
      </c>
      <c r="D212" t="s">
        <v>302</v>
      </c>
    </row>
    <row r="213" spans="1:5" x14ac:dyDescent="0.2">
      <c r="A213" t="str">
        <f>HYPERLINK("http://51.77.66.14", "http://51.77.66.14")</f>
        <v>http://51.77.66.14</v>
      </c>
      <c r="B213" t="s">
        <v>5</v>
      </c>
      <c r="C213" t="str">
        <f>HYPERLINK("https://www.reddit.com/r/opendirectories/comments/ha8g3t", "Spanish Movies and Series")</f>
        <v>Spanish Movies and Series</v>
      </c>
      <c r="D213" t="s">
        <v>400</v>
      </c>
      <c r="E213" t="s">
        <v>377</v>
      </c>
    </row>
    <row r="214" spans="1:5" x14ac:dyDescent="0.2">
      <c r="A214" t="str">
        <f>HYPERLINK("https://foggy.fansub.ovh", "https://foggy.fansub.ovh")</f>
        <v>https://foggy.fansub.ovh</v>
      </c>
      <c r="B214" t="s">
        <v>5</v>
      </c>
      <c r="C214" t="str">
        <f>HYPERLINK("https://www.reddit.com/r/opendirectories/comments/ibrsh5", "Anime/Hentai/Music/PC Games")</f>
        <v>Anime/Hentai/Music/PC Games</v>
      </c>
      <c r="D214" t="s">
        <v>401</v>
      </c>
    </row>
    <row r="215" spans="1:5" x14ac:dyDescent="0.2">
      <c r="A215" t="str">
        <f>HYPERLINK("https://archives.eyrie.org", "https://archives.eyrie.org")</f>
        <v>https://archives.eyrie.org</v>
      </c>
      <c r="B215" t="s">
        <v>5</v>
      </c>
      <c r="C215" t="str">
        <f>HYPERLINK("https://www.reddit.com/r/opendirectories/comments/dzq53d", "Evangelion Fanfic (Not NSFW but weird as fuck, if you know evangelion)")</f>
        <v>Evangelion Fanfic (Not NSFW but weird as fuck, if you know evangelion)</v>
      </c>
      <c r="D215" t="s">
        <v>105</v>
      </c>
    </row>
    <row r="216" spans="1:5" x14ac:dyDescent="0.2">
      <c r="A216" t="str">
        <f>HYPERLINK("http://ranma.hostalhost.com/manga", "http://ranma.hostalhost.com/manga")</f>
        <v>http://ranma.hostalhost.com/manga</v>
      </c>
      <c r="B216" t="s">
        <v>5</v>
      </c>
      <c r="C216" t="str">
        <f>HYPERLINK("https://www.reddit.com/r/opendirectories/comments/ia89ik", "Japanese comicbooks")</f>
        <v>Japanese comicbooks</v>
      </c>
      <c r="D216" t="s">
        <v>385</v>
      </c>
      <c r="E216" t="s">
        <v>63</v>
      </c>
    </row>
    <row r="217" spans="1:5" x14ac:dyDescent="0.2">
      <c r="A217" t="str">
        <f>HYPERLINK("https://bekar.virtual.net.au/images", "https://bekar.virtual.net.au/images")</f>
        <v>https://bekar.virtual.net.au/images</v>
      </c>
      <c r="B217" t="s">
        <v>5</v>
      </c>
      <c r="C217" t="str">
        <f>HYPERLINK("https://www.reddit.com/r/opendirectories/comments/ia838w", "index of anime pictures")</f>
        <v>index of anime pictures</v>
      </c>
      <c r="D217" t="s">
        <v>385</v>
      </c>
    </row>
    <row r="218" spans="1:5" x14ac:dyDescent="0.2">
      <c r="A218" t="str">
        <f>HYPERLINK("http://www.ai.sri.com/movies", "http://www.ai.sri.com/movies")</f>
        <v>http://www.ai.sri.com/movies</v>
      </c>
      <c r="B218" t="s">
        <v>5</v>
      </c>
      <c r="C218" t="str">
        <f>HYPERLINK("https://www.reddit.com/r/opendirectories/comments/hyxk1m", "Movies, Series, Anime, Music and something about robotics")</f>
        <v>Movies, Series, Anime, Music and something about robotics</v>
      </c>
      <c r="D218" t="s">
        <v>402</v>
      </c>
    </row>
    <row r="219" spans="1:5" x14ac:dyDescent="0.2">
      <c r="A219" t="str">
        <f>HYPERLINK("http://51.255.68.3:8011", "http://51.255.68.3:8011")</f>
        <v>http://51.255.68.3:8011</v>
      </c>
      <c r="B219" t="s">
        <v>5</v>
      </c>
      <c r="C219" t="str">
        <f>HYPERLINK("https://www.reddit.com/r/opendirectories/comments/huou39", "misc stuff. Movies, books, music etc...")</f>
        <v>misc stuff. Movies, books, music etc...</v>
      </c>
      <c r="D219" t="s">
        <v>403</v>
      </c>
    </row>
    <row r="220" spans="1:5" x14ac:dyDescent="0.2">
      <c r="A220" t="str">
        <f>HYPERLINK("https://www.futapo.com/wp-content/uploads", "https://www.futapo.com/wp-content/uploads")</f>
        <v>https://www.futapo.com/wp-content/uploads</v>
      </c>
      <c r="B220" t="s">
        <v>5</v>
      </c>
      <c r="C220" t="str">
        <f>HYPERLINK("https://www.reddit.com/r/opendirectories/comments/hpr6b8", "NSFW - Hentai / Funtari Index")</f>
        <v>NSFW - Hentai / Funtari Index</v>
      </c>
      <c r="D220" t="s">
        <v>404</v>
      </c>
    </row>
    <row r="221" spans="1:5" x14ac:dyDescent="0.2">
      <c r="A221" t="str">
        <f>HYPERLINK("https://www.djjubeemedia.appboxes.co/Apks", "https://www.djjubeemedia.appboxes.co/Apks")</f>
        <v>https://www.djjubeemedia.appboxes.co/Apks</v>
      </c>
      <c r="B221" t="s">
        <v>5</v>
      </c>
      <c r="C221" t="str">
        <f>HYPERLINK("https://www.reddit.com/r/opendirectories/comments/ft483i", "Various APK Type Files")</f>
        <v>Various APK Type Files</v>
      </c>
      <c r="D221" t="s">
        <v>92</v>
      </c>
    </row>
    <row r="222" spans="1:5" x14ac:dyDescent="0.2">
      <c r="A222" t="str">
        <f>HYPERLINK("http://dl2.film2serial.ir", "http://dl2.film2serial.ir")</f>
        <v>http://dl2.film2serial.ir</v>
      </c>
      <c r="B222" t="s">
        <v>5</v>
      </c>
      <c r="C222" t="str">
        <f>HYPERLINK("https://www.reddit.com/r/opendirectories/comments/g1om52", "new a lot of movies")</f>
        <v>new a lot of movies</v>
      </c>
      <c r="D222" t="s">
        <v>405</v>
      </c>
      <c r="E222" t="s">
        <v>14</v>
      </c>
    </row>
    <row r="223" spans="1:5" x14ac:dyDescent="0.2">
      <c r="A223" t="str">
        <f>HYPERLINK("http://178.32.222.201:8080", "http://178.32.222.201:8080")</f>
        <v>http://178.32.222.201:8080</v>
      </c>
      <c r="B223" t="s">
        <v>5</v>
      </c>
      <c r="C223" t="str">
        <f>HYPERLINK("https://www.reddit.com/r/opendirectories/comments/gnn0k6", "Anime - Bad Russian dubs")</f>
        <v>Anime - Bad Russian dubs</v>
      </c>
      <c r="D223" t="s">
        <v>406</v>
      </c>
      <c r="E223" t="s">
        <v>8</v>
      </c>
    </row>
    <row r="224" spans="1:5" x14ac:dyDescent="0.2">
      <c r="A224" t="str">
        <f>HYPERLINK("http://dl2.doostihaa.com/Animation", "http://dl2.doostihaa.com/Animation")</f>
        <v>http://dl2.doostihaa.com/Animation</v>
      </c>
      <c r="B224" t="s">
        <v>5</v>
      </c>
      <c r="C224" t="str">
        <f>HYPERLINK("https://www.reddit.com/r/opendirectories/comments/g5ap9r", "Some animation movies. Slow download speeds")</f>
        <v>Some animation movies. Slow download speeds</v>
      </c>
      <c r="D224" t="s">
        <v>89</v>
      </c>
    </row>
    <row r="225" spans="1:5" x14ac:dyDescent="0.2">
      <c r="A225" t="str">
        <f>HYPERLINK("http://5.135.162.62", "http://5.135.162.62")</f>
        <v>http://5.135.162.62</v>
      </c>
      <c r="B225" t="s">
        <v>5</v>
      </c>
      <c r="C225" t="str">
        <f>HYPERLINK("https://www.reddit.com/r/opendirectories/comments/bi7hi3", "sunday funday with moving images #💯")</f>
        <v>sunday funday with moving images #💯</v>
      </c>
      <c r="D225" t="s">
        <v>132</v>
      </c>
    </row>
    <row r="226" spans="1:5" x14ac:dyDescent="0.2">
      <c r="A226" t="str">
        <f>HYPERLINK("https://doc.downloadha.com", "https://doc.downloadha.com")</f>
        <v>https://doc.downloadha.com</v>
      </c>
      <c r="B226" t="s">
        <v>5</v>
      </c>
      <c r="C226" t="str">
        <f>HYPERLINK("https://www.reddit.com/r/opendirectories/comments/d5e6ka", "Lots of Documentaries, BBC, Nature, MvGroup etc.")</f>
        <v>Lots of Documentaries, BBC, Nature, MvGroup etc.</v>
      </c>
      <c r="D226" t="s">
        <v>407</v>
      </c>
    </row>
    <row r="227" spans="1:5" x14ac:dyDescent="0.2">
      <c r="A227" t="str">
        <f>HYPERLINK("http://www.shmygelskyy.name", "http://www.shmygelskyy.name")</f>
        <v>http://www.shmygelskyy.name</v>
      </c>
      <c r="B227" t="s">
        <v>5</v>
      </c>
      <c r="C227" t="str">
        <f>HYPERLINK("https://www.reddit.com/r/opendirectories/comments/fpwn1t", "Index of Movies,mostly bluray.")</f>
        <v>Index of Movies,mostly bluray.</v>
      </c>
      <c r="D227" t="s">
        <v>318</v>
      </c>
      <c r="E227" t="s">
        <v>14</v>
      </c>
    </row>
    <row r="228" spans="1:5" x14ac:dyDescent="0.2">
      <c r="A228" t="str">
        <f>HYPERLINK("http://54.39.100.236", "http://54.39.100.236")</f>
        <v>http://54.39.100.236</v>
      </c>
      <c r="B228" t="s">
        <v>5</v>
      </c>
      <c r="C228" t="str">
        <f>HYPERLINK("https://www.reddit.com/r/opendirectories/comments/fjmgp0", "Whole bunch of movies and stuff")</f>
        <v>Whole bunch of movies and stuff</v>
      </c>
      <c r="D228" t="s">
        <v>319</v>
      </c>
      <c r="E228" t="s">
        <v>14</v>
      </c>
    </row>
    <row r="229" spans="1:5" x14ac:dyDescent="0.2">
      <c r="A229" t="str">
        <f>HYPERLINK("http://51.15.165.12", "http://51.15.165.12")</f>
        <v>http://51.15.165.12</v>
      </c>
      <c r="B229" t="s">
        <v>5</v>
      </c>
      <c r="C229" t="str">
        <f>HYPERLINK("https://www.reddit.com/r/opendirectories/comments/fi7gin", "Some movies and Win10")</f>
        <v>Some movies and Win10</v>
      </c>
      <c r="D229" t="s">
        <v>408</v>
      </c>
    </row>
    <row r="230" spans="1:5" x14ac:dyDescent="0.2">
      <c r="A230" t="str">
        <f>HYPERLINK("http://server9.mangovideo.pw", "http://server9.mangovideo.pw")</f>
        <v>http://server9.mangovideo.pw</v>
      </c>
      <c r="B230" t="s">
        <v>5</v>
      </c>
      <c r="C230" t="str">
        <f>HYPERLINK("https://www.reddit.com/r/opendirectories/comments/fga4pe", "Big porn movies Index")</f>
        <v>Big porn movies Index</v>
      </c>
      <c r="D230" t="s">
        <v>93</v>
      </c>
    </row>
    <row r="231" spans="1:5" x14ac:dyDescent="0.2">
      <c r="A231" t="str">
        <f>HYPERLINK("http://sr.lianmovie.com/film", "http://sr.lianmovie.com/film")</f>
        <v>http://sr.lianmovie.com/film</v>
      </c>
      <c r="B231" t="s">
        <v>5</v>
      </c>
      <c r="C231" t="str">
        <f>HYPERLINK("https://www.reddit.com/r/opendirectories/comments/f6qo9y", "Mostly 2016 - 2018 movies... Horrible download speeds. Contemplated not even posting. It's that slow.")</f>
        <v>Mostly 2016 - 2018 movies... Horrible download speeds. Contemplated not even posting. It's that slow.</v>
      </c>
      <c r="D231" t="s">
        <v>409</v>
      </c>
    </row>
    <row r="232" spans="1:5" x14ac:dyDescent="0.2">
      <c r="A232" t="str">
        <f>HYPERLINK("https://moviegram.com.ua/wp-content/uploads", "https://moviegram.com.ua/wp-content/uploads")</f>
        <v>https://moviegram.com.ua/wp-content/uploads</v>
      </c>
      <c r="B232" t="s">
        <v>5</v>
      </c>
      <c r="C232" t="str">
        <f>HYPERLINK("https://www.reddit.com/r/opendirectories/comments/eydjvx", "Movie Posters &amp;amp; Stills")</f>
        <v>Movie Posters &amp;amp; Stills</v>
      </c>
      <c r="D232" t="s">
        <v>96</v>
      </c>
    </row>
    <row r="233" spans="1:5" x14ac:dyDescent="0.2">
      <c r="A233" t="str">
        <f>HYPERLINK("http://mumia.art.pte.hu/periszkop/Musorok", "http://mumia.art.pte.hu/periszkop/Musorok")</f>
        <v>http://mumia.art.pte.hu/periszkop/Musorok</v>
      </c>
      <c r="B233" t="s">
        <v>5</v>
      </c>
      <c r="C233" t="str">
        <f>HYPERLINK("https://www.reddit.com/r/opendirectories/comments/evuhx9", "A few interesting obscure movies, experimental electronic music. Very fast.")</f>
        <v>A few interesting obscure movies, experimental electronic music. Very fast.</v>
      </c>
      <c r="D233" t="s">
        <v>410</v>
      </c>
    </row>
    <row r="234" spans="1:5" x14ac:dyDescent="0.2">
      <c r="A234" t="str">
        <f>HYPERLINK("https://www.mmnt.net/db/0/1/76.23.52.7/AiDisk_a1/Media%20Server/TV%20Series", "https://www.mmnt.net/db/0/1/76.23.52.7/AiDisk_a1/Media%20Server/TV%20Series")</f>
        <v>https://www.mmnt.net/db/0/1/76.23.52.7/AiDisk_a1/Media%20Server/TV%20Series</v>
      </c>
      <c r="B234" t="s">
        <v>5</v>
      </c>
      <c r="C234" t="str">
        <f>HYPERLINK("https://www.reddit.com/r/opendirectories/comments/en7m2x", "Movies and series")</f>
        <v>Movies and series</v>
      </c>
      <c r="D234" t="s">
        <v>411</v>
      </c>
    </row>
    <row r="235" spans="1:5" x14ac:dyDescent="0.2">
      <c r="A235" t="str">
        <f>HYPERLINK("https://www.cinemaworldtheaters.com/trailers", "https://www.cinemaworldtheaters.com/trailers")</f>
        <v>https://www.cinemaworldtheaters.com/trailers</v>
      </c>
      <c r="B235" t="s">
        <v>5</v>
      </c>
      <c r="C235" t="str">
        <f>HYPERLINK("https://www.reddit.com/r/opendirectories/comments/edlzn7", "2019 Movie Trailers")</f>
        <v>2019 Movie Trailers</v>
      </c>
      <c r="D235" t="s">
        <v>412</v>
      </c>
    </row>
    <row r="236" spans="1:5" x14ac:dyDescent="0.2">
      <c r="A236" t="str">
        <f>HYPERLINK("http://share.animeunderground.es", "http://share.animeunderground.es")</f>
        <v>http://share.animeunderground.es</v>
      </c>
      <c r="B236" t="s">
        <v>5</v>
      </c>
      <c r="C236" t="str">
        <f>HYPERLINK("https://www.reddit.com/r/opendirectories/comments/e7oi4u", "Anime - Spanish Subs/JP Audio")</f>
        <v>Anime - Spanish Subs/JP Audio</v>
      </c>
      <c r="D236" t="s">
        <v>413</v>
      </c>
      <c r="E236" t="s">
        <v>377</v>
      </c>
    </row>
    <row r="237" spans="1:5" x14ac:dyDescent="0.2">
      <c r="A237" t="str">
        <f>HYPERLINK("http://www.openplata.net/resources", "http://www.openplata.net/resources")</f>
        <v>http://www.openplata.net/resources</v>
      </c>
      <c r="B237" t="s">
        <v>5</v>
      </c>
      <c r="C237" t="str">
        <f>HYPERLINK("https://www.reddit.com/r/opendirectories/comments/dzq74y", "Anime icons")</f>
        <v>Anime icons</v>
      </c>
      <c r="D237" t="s">
        <v>105</v>
      </c>
    </row>
    <row r="238" spans="1:5" x14ac:dyDescent="0.2">
      <c r="A238" t="str">
        <f>HYPERLINK("http://5.39.94.171", "http://5.39.94.171")</f>
        <v>http://5.39.94.171</v>
      </c>
      <c r="B238" t="s">
        <v>5</v>
      </c>
      <c r="C238" t="str">
        <f>HYPERLINK("https://www.reddit.com/r/opendirectories/comments/dycaer", "Apps &amp;amp; Movies (ESP) [Slow ~250KB/s]")</f>
        <v>Apps &amp;amp; Movies (ESP) [Slow ~250KB/s]</v>
      </c>
      <c r="D238" t="s">
        <v>107</v>
      </c>
      <c r="E238" t="s">
        <v>263</v>
      </c>
    </row>
    <row r="239" spans="1:5" x14ac:dyDescent="0.2">
      <c r="A239" t="str">
        <f>HYPERLINK("https://androidrepublica.website", "https://androidrepublica.website")</f>
        <v>https://androidrepublica.website</v>
      </c>
      <c r="B239" t="s">
        <v>5</v>
      </c>
      <c r="C239" t="str">
        <f>HYPERLINK("https://www.reddit.com/r/opendirectories/comments/dwx6tr", "Various Updated APK sources for Movies/Anime/Music")</f>
        <v>Various Updated APK sources for Movies/Anime/Music</v>
      </c>
      <c r="D239" t="s">
        <v>325</v>
      </c>
    </row>
    <row r="240" spans="1:5" x14ac:dyDescent="0.2">
      <c r="A240" t="str">
        <f>HYPERLINK("http://files.diadu.net/Other%20Files", "http://files.diadu.net/Other%20Files")</f>
        <v>http://files.diadu.net/Other%20Files</v>
      </c>
      <c r="B240" t="s">
        <v>5</v>
      </c>
      <c r="C240" t="str">
        <f>HYPERLINK("https://www.reddit.com/r/opendirectories/comments/dwl0rv", "MISC Open Directories [Games, Roms, OSTs, more games, anime]")</f>
        <v>MISC Open Directories [Games, Roms, OSTs, more games, anime]</v>
      </c>
      <c r="D240" t="s">
        <v>325</v>
      </c>
      <c r="E240" t="s">
        <v>51</v>
      </c>
    </row>
    <row r="241" spans="1:5" x14ac:dyDescent="0.2">
      <c r="A241" t="str">
        <f>HYPERLINK("http://xbox.joshw.info", "http://xbox.joshw.info")</f>
        <v>http://xbox.joshw.info</v>
      </c>
      <c r="B241" t="s">
        <v>5</v>
      </c>
      <c r="C241" t="str">
        <f>HYPERLINK("https://www.reddit.com/r/opendirectories/comments/dwl0rv", "MISC Open Directories [Games, Roms, OSTs, more games, anime]")</f>
        <v>MISC Open Directories [Games, Roms, OSTs, more games, anime]</v>
      </c>
      <c r="D241" t="s">
        <v>325</v>
      </c>
      <c r="E241" t="s">
        <v>51</v>
      </c>
    </row>
    <row r="242" spans="1:5" x14ac:dyDescent="0.2">
      <c r="A242" t="str">
        <f>HYPERLINK("https://ftp.sunet.se", "https://ftp.sunet.se")</f>
        <v>https://ftp.sunet.se</v>
      </c>
      <c r="B242" t="s">
        <v>5</v>
      </c>
      <c r="C242" t="str">
        <f>HYPERLINK("https://www.reddit.com/r/opendirectories/comments/ak1xka", "Swedish Umea University ACC Club Directory. Has files going back to 94, games, classic anime, books, etc.")</f>
        <v>Swedish Umea University ACC Club Directory. Has files going back to 94, games, classic anime, books, etc.</v>
      </c>
      <c r="D242" t="s">
        <v>414</v>
      </c>
    </row>
    <row r="243" spans="1:5" x14ac:dyDescent="0.2">
      <c r="A243" t="str">
        <f>HYPERLINK("http://tenshi.spb.ru/anime-ost", "http://tenshi.spb.ru/anime-ost")</f>
        <v>http://tenshi.spb.ru/anime-ost</v>
      </c>
      <c r="B243" t="s">
        <v>5</v>
      </c>
      <c r="C243" t="str">
        <f>HYPERLINK("https://www.reddit.com/r/opendirectories/comments/8lqstv", "Anime OST (320 kbps MP3 / 800 Series / Good Speed)")</f>
        <v>Anime OST (320 kbps MP3 / 800 Series / Good Speed)</v>
      </c>
      <c r="D243" t="s">
        <v>415</v>
      </c>
    </row>
    <row r="244" spans="1:5" x14ac:dyDescent="0.2">
      <c r="A244" t="str">
        <f>HYPERLINK("http://download.bowlingballfansubs.it:8080/Release", "http://download.bowlingballfansubs.it:8080/Release")</f>
        <v>http://download.bowlingballfansubs.it:8080/Release</v>
      </c>
      <c r="B244" t="s">
        <v>5</v>
      </c>
      <c r="C244" t="str">
        <f>HYPERLINK("https://www.reddit.com/r/opendirectories/comments/colanx", "Italian Subbed anime")</f>
        <v>Italian Subbed anime</v>
      </c>
      <c r="D244" t="s">
        <v>416</v>
      </c>
      <c r="E244" t="s">
        <v>184</v>
      </c>
    </row>
    <row r="245" spans="1:5" x14ac:dyDescent="0.2">
      <c r="A245" t="str">
        <f>HYPERLINK("http://video.staedele-online.de", "http://video.staedele-online.de")</f>
        <v>http://video.staedele-online.de</v>
      </c>
      <c r="B245" t="s">
        <v>5</v>
      </c>
      <c r="C245" t="str">
        <f>HYPERLINK("https://www.reddit.com/r/opendirectories/comments/bywflw", "old and new german movies, fairy tales and some documentaries @ 100 Mbps")</f>
        <v>old and new german movies, fairy tales and some documentaries @ 100 Mbps</v>
      </c>
      <c r="D245" t="s">
        <v>417</v>
      </c>
      <c r="E245" t="s">
        <v>186</v>
      </c>
    </row>
    <row r="246" spans="1:5" x14ac:dyDescent="0.2">
      <c r="A246" t="str">
        <f>HYPERLINK("http://62-210-103-107.rev.poneytelecom.eu/torrent", "http://62-210-103-107.rev.poneytelecom.eu/torrent")</f>
        <v>http://62-210-103-107.rev.poneytelecom.eu/torrent</v>
      </c>
      <c r="B246" t="s">
        <v>5</v>
      </c>
      <c r="C246" t="str">
        <f>HYPERLINK("https://www.reddit.com/r/opendirectories/comments/bx2qjh", "[FR/EN] Movies / TV Shows / Softwares / Music / Misc")</f>
        <v>[FR/EN] Movies / TV Shows / Softwares / Music / Misc</v>
      </c>
      <c r="D246" t="s">
        <v>273</v>
      </c>
      <c r="E246" t="s">
        <v>51</v>
      </c>
    </row>
    <row r="247" spans="1:5" x14ac:dyDescent="0.2">
      <c r="A247" t="str">
        <f>HYPERLINK("https://www.betamaster.us/hdd1", "https://www.betamaster.us/hdd1")</f>
        <v>https://www.betamaster.us/hdd1</v>
      </c>
      <c r="B247" t="s">
        <v>5</v>
      </c>
      <c r="C247" t="str">
        <f>HYPERLINK("https://www.reddit.com/r/opendirectories/comments/bag54r", "Software and movies, German, good DL speed")</f>
        <v>Software and movies, German, good DL speed</v>
      </c>
      <c r="D247" t="s">
        <v>418</v>
      </c>
      <c r="E247" t="s">
        <v>186</v>
      </c>
    </row>
    <row r="248" spans="1:5" x14ac:dyDescent="0.2">
      <c r="A248" t="str">
        <f>HYPERLINK("http://verificacion.surweb.es/video", "http://verificacion.surweb.es/video")</f>
        <v>http://verificacion.surweb.es/video</v>
      </c>
      <c r="B248" t="s">
        <v>5</v>
      </c>
      <c r="C248" t="str">
        <f>HYPERLINK("https://www.reddit.com/r/opendirectories/comments/b7syuv", "Collection of Movies organized by Genres + Series")</f>
        <v>Collection of Movies organized by Genres + Series</v>
      </c>
      <c r="D248" t="s">
        <v>331</v>
      </c>
    </row>
    <row r="249" spans="1:5" x14ac:dyDescent="0.2">
      <c r="A249" t="str">
        <f>HYPERLINK("http://donkey.bobot.org", "http://donkey.bobot.org")</f>
        <v>http://donkey.bobot.org</v>
      </c>
      <c r="B249" t="s">
        <v>5</v>
      </c>
      <c r="C249" t="str">
        <f>HYPERLINK("https://www.reddit.com/r/opendirectories/comments/az794z", "episodes of tv series, and a few movies.")</f>
        <v>episodes of tv series, and a few movies.</v>
      </c>
      <c r="D249" t="s">
        <v>419</v>
      </c>
    </row>
    <row r="250" spans="1:5" x14ac:dyDescent="0.2">
      <c r="A250" t="str">
        <f>HYPERLINK("https://b.goeswhere.com", "https://b.goeswhere.com")</f>
        <v>https://b.goeswhere.com</v>
      </c>
      <c r="B250" t="s">
        <v>5</v>
      </c>
      <c r="C250" t="str">
        <f t="shared" ref="C250:C276" si="7">HYPERLINK("https://www.reddit.com/r/opendirectories/comments/ape43b", "list of RE-POST's")</f>
        <v>list of RE-POST's</v>
      </c>
      <c r="D250" t="s">
        <v>396</v>
      </c>
    </row>
    <row r="251" spans="1:5" x14ac:dyDescent="0.2">
      <c r="A251" t="str">
        <f>HYPERLINK("https://blackstarkodi.com", "https://blackstarkodi.com")</f>
        <v>https://blackstarkodi.com</v>
      </c>
      <c r="B251" t="s">
        <v>5</v>
      </c>
      <c r="C251" t="str">
        <f t="shared" si="7"/>
        <v>list of RE-POST's</v>
      </c>
      <c r="D251" t="s">
        <v>396</v>
      </c>
    </row>
    <row r="252" spans="1:5" x14ac:dyDescent="0.2">
      <c r="A252" t="str">
        <f>HYPERLINK("https://cache.csrulez.ru", "https://cache.csrulez.ru")</f>
        <v>https://cache.csrulez.ru</v>
      </c>
      <c r="B252" t="s">
        <v>5</v>
      </c>
      <c r="C252" t="str">
        <f t="shared" si="7"/>
        <v>list of RE-POST's</v>
      </c>
      <c r="D252" t="s">
        <v>396</v>
      </c>
    </row>
    <row r="253" spans="1:5" x14ac:dyDescent="0.2">
      <c r="A253" t="str">
        <f>HYPERLINK("https://ch0c.com", "https://ch0c.com")</f>
        <v>https://ch0c.com</v>
      </c>
      <c r="B253" t="s">
        <v>5</v>
      </c>
      <c r="C253" t="str">
        <f t="shared" si="7"/>
        <v>list of RE-POST's</v>
      </c>
      <c r="D253" t="s">
        <v>396</v>
      </c>
    </row>
    <row r="254" spans="1:5" x14ac:dyDescent="0.2">
      <c r="A254" t="str">
        <f>HYPERLINK("https://cyberside.net.ee", "https://cyberside.net.ee")</f>
        <v>https://cyberside.net.ee</v>
      </c>
      <c r="B254" t="s">
        <v>5</v>
      </c>
      <c r="C254" t="str">
        <f t="shared" si="7"/>
        <v>list of RE-POST's</v>
      </c>
      <c r="D254" t="s">
        <v>396</v>
      </c>
    </row>
    <row r="255" spans="1:5" x14ac:dyDescent="0.2">
      <c r="A255" t="str">
        <f>HYPERLINK("https://dl.par30dl.com", "https://dl.par30dl.com")</f>
        <v>https://dl.par30dl.com</v>
      </c>
      <c r="B255" t="s">
        <v>5</v>
      </c>
      <c r="C255" t="str">
        <f t="shared" si="7"/>
        <v>list of RE-POST's</v>
      </c>
      <c r="D255" t="s">
        <v>396</v>
      </c>
    </row>
    <row r="256" spans="1:5" x14ac:dyDescent="0.2">
      <c r="A256" t="str">
        <f>HYPERLINK("https://download.nextcloud.com", "https://download.nextcloud.com")</f>
        <v>https://download.nextcloud.com</v>
      </c>
      <c r="B256" t="s">
        <v>5</v>
      </c>
      <c r="C256" t="str">
        <f t="shared" si="7"/>
        <v>list of RE-POST's</v>
      </c>
      <c r="D256" t="s">
        <v>396</v>
      </c>
    </row>
    <row r="257" spans="1:4" x14ac:dyDescent="0.2">
      <c r="A257" t="str">
        <f>HYPERLINK("https://download.videolan.org", "https://download.videolan.org")</f>
        <v>https://download.videolan.org</v>
      </c>
      <c r="B257" t="s">
        <v>5</v>
      </c>
      <c r="C257" t="str">
        <f t="shared" si="7"/>
        <v>list of RE-POST's</v>
      </c>
      <c r="D257" t="s">
        <v>396</v>
      </c>
    </row>
    <row r="258" spans="1:4" x14ac:dyDescent="0.2">
      <c r="A258" t="str">
        <f>HYPERLINK("https://ftp.belnet.be", "https://ftp.belnet.be")</f>
        <v>https://ftp.belnet.be</v>
      </c>
      <c r="B258" t="s">
        <v>5</v>
      </c>
      <c r="C258" t="str">
        <f t="shared" si="7"/>
        <v>list of RE-POST's</v>
      </c>
      <c r="D258" t="s">
        <v>396</v>
      </c>
    </row>
    <row r="259" spans="1:4" x14ac:dyDescent="0.2">
      <c r="A259" t="str">
        <f>HYPERLINK("https://ftp.dlink.ru", "https://ftp.dlink.ru")</f>
        <v>https://ftp.dlink.ru</v>
      </c>
      <c r="B259" t="s">
        <v>5</v>
      </c>
      <c r="C259" t="str">
        <f t="shared" si="7"/>
        <v>list of RE-POST's</v>
      </c>
      <c r="D259" t="s">
        <v>396</v>
      </c>
    </row>
    <row r="260" spans="1:4" x14ac:dyDescent="0.2">
      <c r="A260" t="str">
        <f>HYPERLINK("https://ftp.funet.fi", "https://ftp.funet.fi")</f>
        <v>https://ftp.funet.fi</v>
      </c>
      <c r="B260" t="s">
        <v>5</v>
      </c>
      <c r="C260" t="str">
        <f t="shared" si="7"/>
        <v>list of RE-POST's</v>
      </c>
      <c r="D260" t="s">
        <v>396</v>
      </c>
    </row>
    <row r="261" spans="1:4" x14ac:dyDescent="0.2">
      <c r="A261" t="str">
        <f>HYPERLINK("https://ftp.gnome.org", "https://ftp.gnome.org")</f>
        <v>https://ftp.gnome.org</v>
      </c>
      <c r="B261" t="s">
        <v>5</v>
      </c>
      <c r="C261" t="str">
        <f t="shared" si="7"/>
        <v>list of RE-POST's</v>
      </c>
      <c r="D261" t="s">
        <v>396</v>
      </c>
    </row>
    <row r="262" spans="1:4" x14ac:dyDescent="0.2">
      <c r="A262" t="str">
        <f>HYPERLINK("https://galactic.to", "https://galactic.to")</f>
        <v>https://galactic.to</v>
      </c>
      <c r="B262" t="s">
        <v>5</v>
      </c>
      <c r="C262" t="str">
        <f t="shared" si="7"/>
        <v>list of RE-POST's</v>
      </c>
      <c r="D262" t="s">
        <v>396</v>
      </c>
    </row>
    <row r="263" spans="1:4" x14ac:dyDescent="0.2">
      <c r="A263" t="str">
        <f>HYPERLINK("https://gmsh.info", "https://gmsh.info")</f>
        <v>https://gmsh.info</v>
      </c>
      <c r="B263" t="s">
        <v>5</v>
      </c>
      <c r="C263" t="str">
        <f t="shared" si="7"/>
        <v>list of RE-POST's</v>
      </c>
      <c r="D263" t="s">
        <v>396</v>
      </c>
    </row>
    <row r="264" spans="1:4" x14ac:dyDescent="0.2">
      <c r="A264" t="str">
        <f>HYPERLINK("https://img.cs.montana.edu", "https://img.cs.montana.edu")</f>
        <v>https://img.cs.montana.edu</v>
      </c>
      <c r="B264" t="s">
        <v>5</v>
      </c>
      <c r="C264" t="str">
        <f t="shared" si="7"/>
        <v>list of RE-POST's</v>
      </c>
      <c r="D264" t="s">
        <v>396</v>
      </c>
    </row>
    <row r="265" spans="1:4" x14ac:dyDescent="0.2">
      <c r="A265" t="str">
        <f>HYPERLINK("https://incoherency.co.uk", "https://incoherency.co.uk")</f>
        <v>https://incoherency.co.uk</v>
      </c>
      <c r="B265" t="s">
        <v>5</v>
      </c>
      <c r="C265" t="str">
        <f t="shared" si="7"/>
        <v>list of RE-POST's</v>
      </c>
      <c r="D265" t="s">
        <v>396</v>
      </c>
    </row>
    <row r="266" spans="1:4" x14ac:dyDescent="0.2">
      <c r="A266" t="str">
        <f>HYPERLINK("https://legacymediastreams.com", "https://legacymediastreams.com")</f>
        <v>https://legacymediastreams.com</v>
      </c>
      <c r="B266" t="s">
        <v>5</v>
      </c>
      <c r="C266" t="str">
        <f t="shared" si="7"/>
        <v>list of RE-POST's</v>
      </c>
      <c r="D266" t="s">
        <v>396</v>
      </c>
    </row>
    <row r="267" spans="1:4" x14ac:dyDescent="0.2">
      <c r="A267" t="str">
        <f>HYPERLINK("https://media.xiph.org", "https://media.xiph.org")</f>
        <v>https://media.xiph.org</v>
      </c>
      <c r="B267" t="s">
        <v>5</v>
      </c>
      <c r="C267" t="str">
        <f t="shared" si="7"/>
        <v>list of RE-POST's</v>
      </c>
      <c r="D267" t="s">
        <v>396</v>
      </c>
    </row>
    <row r="268" spans="1:4" x14ac:dyDescent="0.2">
      <c r="A268" t="str">
        <f>HYPERLINK("https://modland.com", "https://modland.com")</f>
        <v>https://modland.com</v>
      </c>
      <c r="B268" t="s">
        <v>5</v>
      </c>
      <c r="C268" t="str">
        <f t="shared" si="7"/>
        <v>list of RE-POST's</v>
      </c>
      <c r="D268" t="s">
        <v>396</v>
      </c>
    </row>
    <row r="269" spans="1:4" x14ac:dyDescent="0.2">
      <c r="A269" t="str">
        <f>HYPERLINK("https://pics.yougave.me", "https://pics.yougave.me")</f>
        <v>https://pics.yougave.me</v>
      </c>
      <c r="B269" t="s">
        <v>5</v>
      </c>
      <c r="C269" t="str">
        <f t="shared" si="7"/>
        <v>list of RE-POST's</v>
      </c>
      <c r="D269" t="s">
        <v>396</v>
      </c>
    </row>
    <row r="270" spans="1:4" x14ac:dyDescent="0.2">
      <c r="A270" t="str">
        <f>HYPERLINK("https://repo.steampowered.com", "https://repo.steampowered.com")</f>
        <v>https://repo.steampowered.com</v>
      </c>
      <c r="B270" t="s">
        <v>5</v>
      </c>
      <c r="C270" t="str">
        <f t="shared" si="7"/>
        <v>list of RE-POST's</v>
      </c>
      <c r="D270" t="s">
        <v>396</v>
      </c>
    </row>
    <row r="271" spans="1:4" x14ac:dyDescent="0.2">
      <c r="A271" t="str">
        <f>HYPERLINK("https://rootjunkysdl.com", "https://rootjunkysdl.com")</f>
        <v>https://rootjunkysdl.com</v>
      </c>
      <c r="B271" t="s">
        <v>5</v>
      </c>
      <c r="C271" t="str">
        <f t="shared" si="7"/>
        <v>list of RE-POST's</v>
      </c>
      <c r="D271" t="s">
        <v>396</v>
      </c>
    </row>
    <row r="272" spans="1:4" x14ac:dyDescent="0.2">
      <c r="A272" t="str">
        <f>HYPERLINK("https://www.bookofthedead.ws", "https://www.bookofthedead.ws")</f>
        <v>https://www.bookofthedead.ws</v>
      </c>
      <c r="B272" t="s">
        <v>5</v>
      </c>
      <c r="C272" t="str">
        <f t="shared" si="7"/>
        <v>list of RE-POST's</v>
      </c>
      <c r="D272" t="s">
        <v>396</v>
      </c>
    </row>
    <row r="273" spans="1:4" x14ac:dyDescent="0.2">
      <c r="A273" t="str">
        <f>HYPERLINK("https://www.danielpeart.net", "https://www.danielpeart.net")</f>
        <v>https://www.danielpeart.net</v>
      </c>
      <c r="B273" t="s">
        <v>5</v>
      </c>
      <c r="C273" t="str">
        <f t="shared" si="7"/>
        <v>list of RE-POST's</v>
      </c>
      <c r="D273" t="s">
        <v>396</v>
      </c>
    </row>
    <row r="274" spans="1:4" x14ac:dyDescent="0.2">
      <c r="A274" t="str">
        <f>HYPERLINK("https://www.gamers.org", "https://www.gamers.org")</f>
        <v>https://www.gamers.org</v>
      </c>
      <c r="B274" t="s">
        <v>5</v>
      </c>
      <c r="C274" t="str">
        <f t="shared" si="7"/>
        <v>list of RE-POST's</v>
      </c>
      <c r="D274" t="s">
        <v>396</v>
      </c>
    </row>
    <row r="275" spans="1:4" x14ac:dyDescent="0.2">
      <c r="A275" t="str">
        <f>HYPERLINK("https://www.vivagamers.com", "https://www.vivagamers.com")</f>
        <v>https://www.vivagamers.com</v>
      </c>
      <c r="B275" t="s">
        <v>5</v>
      </c>
      <c r="C275" t="str">
        <f t="shared" si="7"/>
        <v>list of RE-POST's</v>
      </c>
      <c r="D275" t="s">
        <v>396</v>
      </c>
    </row>
    <row r="276" spans="1:4" x14ac:dyDescent="0.2">
      <c r="A276" t="str">
        <f>HYPERLINK("https://www.xbmcmods.com", "https://www.xbmcmods.com")</f>
        <v>https://www.xbmcmods.com</v>
      </c>
      <c r="B276" t="s">
        <v>5</v>
      </c>
      <c r="C276" t="str">
        <f t="shared" si="7"/>
        <v>list of RE-POST's</v>
      </c>
      <c r="D276" t="s">
        <v>396</v>
      </c>
    </row>
    <row r="277" spans="1:4" x14ac:dyDescent="0.2">
      <c r="A277" t="str">
        <f>HYPERLINK("http://t94xr.download", "http://t94xr.download")</f>
        <v>http://t94xr.download</v>
      </c>
      <c r="B277" t="s">
        <v>5</v>
      </c>
      <c r="C277" t="str">
        <f>HYPERLINK("https://www.reddit.com/r/opendirectories/comments/akw1u2", "Movies &amp;amp; Series [~2MB/s]")</f>
        <v>Movies &amp;amp; Series [~2MB/s]</v>
      </c>
      <c r="D277" t="s">
        <v>334</v>
      </c>
    </row>
    <row r="278" spans="1:4" x14ac:dyDescent="0.2">
      <c r="A278" t="str">
        <f>HYPERLINK("http://www.serenitystreetnews.com/videos", "http://www.serenitystreetnews.com/videos")</f>
        <v>http://www.serenitystreetnews.com/videos</v>
      </c>
      <c r="B278" t="s">
        <v>5</v>
      </c>
      <c r="C278" t="str">
        <f>HYPERLINK("https://www.reddit.com/r/opendirectories/comments/aiir47", "Seems to be a lot of video stuff, that someone, got off youtube, dailymotion. No movies, as far as I can see.")</f>
        <v>Seems to be a lot of video stuff, that someone, got off youtube, dailymotion. No movies, as far as I can see.</v>
      </c>
      <c r="D278" t="s">
        <v>335</v>
      </c>
    </row>
    <row r="279" spans="1:4" x14ac:dyDescent="0.2">
      <c r="A279" t="str">
        <f>HYPERLINK("http://www.animextremist.com/artbooks", "http://www.animextremist.com/artbooks")</f>
        <v>http://www.animextremist.com/artbooks</v>
      </c>
      <c r="B279" t="s">
        <v>5</v>
      </c>
      <c r="C279" t="str">
        <f>HYPERLINK("https://www.reddit.com/r/opendirectories/comments/agdvb8", "Anime artbook scans")</f>
        <v>Anime artbook scans</v>
      </c>
      <c r="D279" t="s">
        <v>420</v>
      </c>
    </row>
    <row r="280" spans="1:4" x14ac:dyDescent="0.2">
      <c r="A280" t="str">
        <f>HYPERLINK("http://sawiptv.com", "http://sawiptv.com")</f>
        <v>http://sawiptv.com</v>
      </c>
      <c r="B280" t="s">
        <v>5</v>
      </c>
      <c r="C280" t="str">
        <f>HYPERLINK("https://www.reddit.com/r/opendirectories/comments/9xzmep", "Random collection of Movies / TV Shows")</f>
        <v>Random collection of Movies / TV Shows</v>
      </c>
      <c r="D280" t="s">
        <v>421</v>
      </c>
    </row>
    <row r="281" spans="1:4" x14ac:dyDescent="0.2">
      <c r="A281" t="str">
        <f>HYPERLINK("https://datapacket.com", "https://datapacket.com")</f>
        <v>https://datapacket.com</v>
      </c>
      <c r="B281" t="s">
        <v>5</v>
      </c>
      <c r="C281" t="str">
        <f>HYPERLINK("https://www.reddit.com/r/opendirectories/comments/92fnzh", "Revamped Fusker System - View Open Directory Images @ The-Eye")</f>
        <v>Revamped Fusker System - View Open Directory Images @ The-Eye</v>
      </c>
      <c r="D281" t="s">
        <v>161</v>
      </c>
    </row>
    <row r="282" spans="1:4" x14ac:dyDescent="0.2">
      <c r="A282" t="str">
        <f>HYPERLINK("http://217.162.253.72", "http://217.162.253.72")</f>
        <v>http://217.162.253.72</v>
      </c>
      <c r="B282" t="s">
        <v>5</v>
      </c>
      <c r="C282" t="str">
        <f>HYPERLINK("https://www.reddit.com/r/opendirectories/comments/94pk3f", "Misc IP's with Movies/Tv Series.")</f>
        <v>Misc IP's with Movies/Tv Series.</v>
      </c>
      <c r="D282" t="s">
        <v>422</v>
      </c>
    </row>
    <row r="283" spans="1:4" x14ac:dyDescent="0.2">
      <c r="A283" t="str">
        <f>HYPERLINK("https://www.observatorij.org/allsky", "https://www.observatorij.org/allsky")</f>
        <v>https://www.observatorij.org/allsky</v>
      </c>
      <c r="B283" t="s">
        <v>5</v>
      </c>
      <c r="C283" t="str">
        <f>HYPERLINK("https://www.reddit.com/r/opendirectories/comments/94hh3v", "Crni Vrh Observatory [VIDEO] Recordings of the Nightime Sky 2004-18")</f>
        <v>Crni Vrh Observatory [VIDEO] Recordings of the Nightime Sky 2004-18</v>
      </c>
      <c r="D283" t="s">
        <v>345</v>
      </c>
    </row>
    <row r="284" spans="1:4" x14ac:dyDescent="0.2">
      <c r="A284" t="str">
        <f>HYPERLINK("http://firepig.tartarus.feralhosting.com", "http://firepig.tartarus.feralhosting.com")</f>
        <v>http://firepig.tartarus.feralhosting.com</v>
      </c>
      <c r="B284" t="s">
        <v>5</v>
      </c>
      <c r="C284" t="str">
        <f>HYPERLINK("https://www.reddit.com/r/opendirectories/comments/8ufnbh", "Video Game Roms - Movies - TV")</f>
        <v>Video Game Roms - Movies - TV</v>
      </c>
      <c r="D284" t="s">
        <v>166</v>
      </c>
    </row>
    <row r="285" spans="1:4" x14ac:dyDescent="0.2">
      <c r="A285" t="str">
        <f>HYPERLINK("http://www.chaosje.nl", "http://www.chaosje.nl")</f>
        <v>http://www.chaosje.nl</v>
      </c>
      <c r="B285" t="s">
        <v>5</v>
      </c>
      <c r="C285" t="str">
        <f>HYPERLINK("https://www.reddit.com/r/opendirectories/comments/8irx42", "few music files, and films, total commander 8.01 with wincmd key, and god knows what else.")</f>
        <v>few music files, and films, total commander 8.01 with wincmd key, and god knows what else.</v>
      </c>
      <c r="D285" t="s">
        <v>423</v>
      </c>
    </row>
    <row r="286" spans="1:4" x14ac:dyDescent="0.2">
      <c r="A286" t="str">
        <f>HYPERLINK("https://10gbps.io", "https://10gbps.io")</f>
        <v>https://10gbps.io</v>
      </c>
      <c r="B286" t="s">
        <v>5</v>
      </c>
      <c r="C286" t="str">
        <f>HYPERLINK("https://www.reddit.com/r/opendirectories/comments/7gs0f2", "Google Index Search Engine @ The-Eye")</f>
        <v>Google Index Search Engine @ The-Eye</v>
      </c>
      <c r="D286" t="s">
        <v>346</v>
      </c>
    </row>
    <row r="287" spans="1:4" x14ac:dyDescent="0.2">
      <c r="A287" t="str">
        <f>HYPERLINK("http://doc.downloadha.com", "http://doc.downloadha.com")</f>
        <v>http://doc.downloadha.com</v>
      </c>
      <c r="B287" t="s">
        <v>5</v>
      </c>
      <c r="C287" t="str">
        <f>HYPERLINK("https://www.reddit.com/r/opendirectories/comments/5t61ve", "Movies, TV Shows, Games")</f>
        <v>Movies, TV Shows, Games</v>
      </c>
      <c r="D287" t="s">
        <v>424</v>
      </c>
    </row>
    <row r="288" spans="1:4" x14ac:dyDescent="0.2">
      <c r="A288" t="str">
        <f>HYPERLINK("http://htftp.offroadsz.com", "http://htftp.offroadsz.com")</f>
        <v>http://htftp.offroadsz.com</v>
      </c>
      <c r="B288" t="s">
        <v>5</v>
      </c>
      <c r="C288" t="str">
        <f>HYPERLINK("https://www.reddit.com/r/opendirectories/comments/936by", "Soundtracks from the first 5 Rocky films and Tom Jones' Greatest Hits")</f>
        <v>Soundtracks from the first 5 Rocky films and Tom Jones' Greatest Hits</v>
      </c>
      <c r="D288" t="s">
        <v>258</v>
      </c>
    </row>
    <row r="289" spans="1:5" x14ac:dyDescent="0.2">
      <c r="A289" t="str">
        <f>HYPERLINK("http://media.xenialbb.net/Store", "http://media.xenialbb.net/Store")</f>
        <v>http://media.xenialbb.net/Store</v>
      </c>
      <c r="B289" t="s">
        <v>5</v>
      </c>
      <c r="C289" t="str">
        <f>HYPERLINK("https://www.reddit.com/r/opendirectories/comments/5hlnjc", "Movies, Software, and more!")</f>
        <v>Movies, Software, and more!</v>
      </c>
      <c r="D289" t="s">
        <v>425</v>
      </c>
    </row>
    <row r="290" spans="1:5" x14ac:dyDescent="0.2">
      <c r="A290" t="str">
        <f>HYPERLINK("http://dl3.vaiomusic.org", "http://dl3.vaiomusic.org")</f>
        <v>http://dl3.vaiomusic.org</v>
      </c>
      <c r="B290" t="s">
        <v>5</v>
      </c>
      <c r="C290" t="str">
        <f>HYPERLINK("https://www.reddit.com/r/opendirectories/comments/6a7f30", "Movies")</f>
        <v>Movies</v>
      </c>
      <c r="D290" t="s">
        <v>426</v>
      </c>
    </row>
    <row r="291" spans="1:5" x14ac:dyDescent="0.2">
      <c r="A291" t="str">
        <f>HYPERLINK("http://dls.firone-land.com", "http://dls.firone-land.com")</f>
        <v>http://dls.firone-land.com</v>
      </c>
      <c r="B291" t="s">
        <v>5</v>
      </c>
      <c r="C291" t="str">
        <f>HYPERLINK("https://www.reddit.com/r/opendirectories/comments/684a5d", "Movies, Games, TV Shows, Random crap")</f>
        <v>Movies, Games, TV Shows, Random crap</v>
      </c>
      <c r="D291" t="s">
        <v>427</v>
      </c>
    </row>
    <row r="292" spans="1:5" x14ac:dyDescent="0.2">
      <c r="A292" t="str">
        <f>HYPERLINK("http://marla-isp.ludost.net", "http://marla-isp.ludost.net")</f>
        <v>http://marla-isp.ludost.net</v>
      </c>
      <c r="B292" t="s">
        <v>5</v>
      </c>
      <c r="C292" t="str">
        <f>HYPERLINK("https://www.reddit.com/r/opendirectories/comments/51y38z", "Nice collection of subbed anime ... Mostly SFW")</f>
        <v>Nice collection of subbed anime ... Mostly SFW</v>
      </c>
      <c r="D292" t="s">
        <v>352</v>
      </c>
    </row>
    <row r="293" spans="1:5" x14ac:dyDescent="0.2">
      <c r="A293" t="str">
        <f>HYPERLINK("https://TransferCloud.io", "https://TransferCloud.io")</f>
        <v>https://TransferCloud.io</v>
      </c>
      <c r="B293" t="s">
        <v>5</v>
      </c>
      <c r="C293" t="str">
        <f>HYPERLINK("https://www.reddit.com/r/opendirectories/comments/5jezfp", "Transfer Web Folder contents to personal drive: TransferCloud.io, help me debug + free codes")</f>
        <v>Transfer Web Folder contents to personal drive: TransferCloud.io, help me debug + free codes</v>
      </c>
      <c r="D293" t="s">
        <v>428</v>
      </c>
    </row>
    <row r="294" spans="1:5" x14ac:dyDescent="0.2">
      <c r="A294" t="str">
        <f>HYPERLINK("https://gegenees.feralhosting.com/prisoner627", "https://gegenees.feralhosting.com/prisoner627")</f>
        <v>https://gegenees.feralhosting.com/prisoner627</v>
      </c>
      <c r="B294" t="s">
        <v>5</v>
      </c>
      <c r="C294" t="str">
        <f>HYPERLINK("https://www.reddit.com/r/opendirectories/comments/55zk8u", "Movies and Series from a Seedbox #2")</f>
        <v>Movies and Series from a Seedbox #2</v>
      </c>
      <c r="D294" t="s">
        <v>429</v>
      </c>
    </row>
    <row r="295" spans="1:5" x14ac:dyDescent="0.2">
      <c r="A295" t="str">
        <f>HYPERLINK("http://ch0c.com", "http://ch0c.com")</f>
        <v>http://ch0c.com</v>
      </c>
      <c r="B295" t="s">
        <v>5</v>
      </c>
      <c r="C295" t="str">
        <f>HYPERLINK("https://www.reddit.com/r/opendirectories/comments/553tt0", "Full server of french movies and french dubbed or subbed movies")</f>
        <v>Full server of french movies and french dubbed or subbed movies</v>
      </c>
      <c r="D295" t="s">
        <v>430</v>
      </c>
      <c r="E295" t="s">
        <v>51</v>
      </c>
    </row>
    <row r="296" spans="1:5" x14ac:dyDescent="0.2">
      <c r="A296" t="str">
        <f>HYPERLINK("http://peliculator.com/torrents/subs", "http://peliculator.com/torrents/subs")</f>
        <v>http://peliculator.com/torrents/subs</v>
      </c>
      <c r="B296" t="s">
        <v>5</v>
      </c>
      <c r="C296" t="str">
        <f>HYPERLINK("https://www.reddit.com/r/opendirectories/comments/4bzwfv", "English subtitles to a bunch of movies")</f>
        <v>English subtitles to a bunch of movies</v>
      </c>
      <c r="D296" t="s">
        <v>356</v>
      </c>
      <c r="E296" t="s">
        <v>14</v>
      </c>
    </row>
    <row r="297" spans="1:5" x14ac:dyDescent="0.2">
      <c r="A297" t="str">
        <f>HYPERLINK("http://www.erratum.org/datas", "http://www.erratum.org/datas")</f>
        <v>http://www.erratum.org/datas</v>
      </c>
      <c r="B297" t="s">
        <v>5</v>
      </c>
      <c r="C297" t="str">
        <f>HYPERLINK("https://www.reddit.com/r/opendirectories/comments/471n3e", "Arty music and films")</f>
        <v>Arty music and films</v>
      </c>
      <c r="D297" t="s">
        <v>431</v>
      </c>
    </row>
    <row r="298" spans="1:5" x14ac:dyDescent="0.2">
      <c r="A298" t="str">
        <f>HYPERLINK("http://ftp.tuebingen.mpg.de", "http://ftp.tuebingen.mpg.de")</f>
        <v>http://ftp.tuebingen.mpg.de</v>
      </c>
      <c r="B298" t="s">
        <v>5</v>
      </c>
      <c r="C298" t="str">
        <f>HYPERLINK("https://www.reddit.com/r/opendirectories/comments/3vdys5", "Some dude's GoPro movies during parachuting and wingsuit flights. Pretty cool.")</f>
        <v>Some dude's GoPro movies during parachuting and wingsuit flights. Pretty cool.</v>
      </c>
      <c r="D298" t="s">
        <v>432</v>
      </c>
    </row>
    <row r="299" spans="1:5" x14ac:dyDescent="0.2">
      <c r="A299" t="str">
        <f>HYPERLINK("http://sinsofcinema.com/Images", "http://sinsofcinema.com/Images")</f>
        <v>http://sinsofcinema.com/Images</v>
      </c>
      <c r="B299" t="s">
        <v>5</v>
      </c>
      <c r="C299" t="str">
        <f>HYPERLINK("https://www.reddit.com/r/opendirectories/comments/3tua4m", "Sins of Cinema - horror cult/genre film posters and movie stills")</f>
        <v>Sins of Cinema - horror cult/genre film posters and movie stills</v>
      </c>
      <c r="D299" t="s">
        <v>234</v>
      </c>
    </row>
    <row r="300" spans="1:5" x14ac:dyDescent="0.2">
      <c r="A300" t="str">
        <f>HYPERLINK("http://ranger.befunk.com", "http://ranger.befunk.com")</f>
        <v>http://ranger.befunk.com</v>
      </c>
      <c r="B300" t="s">
        <v>5</v>
      </c>
      <c r="C300" t="str">
        <f>HYPERLINK("https://www.reddit.com/r/opendirectories/comments/3lm4gy", "/u/wearehidden's directory dump (with more organization / info)")</f>
        <v>/u/wearehidden's directory dump (with more organization / info)</v>
      </c>
      <c r="D300" t="s">
        <v>358</v>
      </c>
      <c r="E300" t="s">
        <v>359</v>
      </c>
    </row>
    <row r="301" spans="1:5" x14ac:dyDescent="0.2">
      <c r="A301" t="str">
        <f>HYPERLINK("http://interhost.hu/stuff", "http://interhost.hu/stuff")</f>
        <v>http://interhost.hu/stuff</v>
      </c>
      <c r="B301" t="s">
        <v>5</v>
      </c>
      <c r="C301" t="str">
        <f>HYPERLINK("https://www.reddit.com/r/opendirectories/comments/3bczlh", "Hi-Res Movie Posters")</f>
        <v>Hi-Res Movie Posters</v>
      </c>
      <c r="D301" t="s">
        <v>433</v>
      </c>
    </row>
    <row r="302" spans="1:5" x14ac:dyDescent="0.2">
      <c r="A302" t="str">
        <f>HYPERLINK("https://ftp.severinsson.net", "https://ftp.severinsson.net")</f>
        <v>https://ftp.severinsson.net</v>
      </c>
      <c r="B302" t="s">
        <v>5</v>
      </c>
      <c r="C302" t="str">
        <f>HYPERLINK("https://www.reddit.com/r/opendirectories/comments/30a6qq", "Music, movies, ebooks, audio books")</f>
        <v>Music, movies, ebooks, audio books</v>
      </c>
      <c r="D302" t="s">
        <v>434</v>
      </c>
    </row>
    <row r="303" spans="1:5" x14ac:dyDescent="0.2">
      <c r="A303" t="str">
        <f>HYPERLINK("http://home.fa.utl.pt/~cfig", "http://home.fa.utl.pt/~cfig")</f>
        <v>http://home.fa.utl.pt/~cfig</v>
      </c>
      <c r="B303" t="s">
        <v>5</v>
      </c>
      <c r="C303" t="str">
        <f>HYPERLINK("https://www.reddit.com/r/opendirectories/comments/2xo8n7", "Classic movies, books about cinema (belongs to a cinema teacher)")</f>
        <v>Classic movies, books about cinema (belongs to a cinema teacher)</v>
      </c>
      <c r="D303" t="s">
        <v>435</v>
      </c>
    </row>
    <row r="304" spans="1:5" x14ac:dyDescent="0.2">
      <c r="A304" t="str">
        <f>HYPERLINK("http://upantcho.com/dl", "http://upantcho.com/dl")</f>
        <v>http://upantcho.com/dl</v>
      </c>
      <c r="B304" t="s">
        <v>5</v>
      </c>
      <c r="C304" t="str">
        <f>HYPERLINK("https://www.reddit.com/r/opendirectories/comments/tpqee", "HD movies of the Avengers characters - Iron Man, Hulk, Captain America, Thor, plus Spider Man")</f>
        <v>HD movies of the Avengers characters - Iron Man, Hulk, Captain America, Thor, plus Spider Man</v>
      </c>
      <c r="D304" t="s">
        <v>436</v>
      </c>
    </row>
    <row r="305" spans="1:5" x14ac:dyDescent="0.2">
      <c r="A305" t="str">
        <f>HYPERLINK("http://home.agalakov.spb.ru/Shared", "http://home.agalakov.spb.ru/Shared")</f>
        <v>http://home.agalakov.spb.ru/Shared</v>
      </c>
      <c r="B305" t="s">
        <v>5</v>
      </c>
      <c r="C305" t="str">
        <f>HYPERLINK("https://www.reddit.com/r/opendirectories/comments/tdgu4", "Media which is probably Russian.")</f>
        <v>Media which is probably Russian.</v>
      </c>
      <c r="D305" t="s">
        <v>437</v>
      </c>
      <c r="E305" t="s">
        <v>8</v>
      </c>
    </row>
    <row r="306" spans="1:5" x14ac:dyDescent="0.2">
      <c r="A306" t="str">
        <f>HYPERLINK("http://franxman.com", "http://franxman.com")</f>
        <v>http://franxman.com</v>
      </c>
      <c r="B306" t="s">
        <v>5</v>
      </c>
      <c r="D306" t="s">
        <v>438</v>
      </c>
    </row>
  </sheetData>
  <pageMargins left="0.75" right="0.75" top="1" bottom="1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6"/>
  <sheetViews>
    <sheetView zoomScaleNormal="100" workbookViewId="0">
      <pane ySplit="1" topLeftCell="A173" activePane="bottomLeft" state="frozen"/>
      <selection pane="bottomLeft" activeCell="A188" sqref="A188"/>
    </sheetView>
  </sheetViews>
  <sheetFormatPr baseColWidth="10" defaultColWidth="8.83203125" defaultRowHeight="15" x14ac:dyDescent="0.2"/>
  <cols>
    <col min="1" max="1" width="50" customWidth="1"/>
    <col min="3" max="3" width="115.5" customWidth="1"/>
    <col min="4" max="4" width="11" customWidth="1"/>
    <col min="5" max="5" width="80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439</v>
      </c>
    </row>
    <row r="2" spans="1:5" x14ac:dyDescent="0.2">
      <c r="A2" t="str">
        <f>HYPERLINK("http://tajmovie.ir", "http://tajmovie.ir")</f>
        <v>http://tajmovie.ir</v>
      </c>
      <c r="B2" t="s">
        <v>5</v>
      </c>
      <c r="C2" t="str">
        <f>HYPERLINK("https://www.reddit.com/r/opendirectories/comments/ppvwry", "A few Movies &amp;amp; Series")</f>
        <v>A few Movies &amp;amp; Series</v>
      </c>
      <c r="D2" t="s">
        <v>361</v>
      </c>
    </row>
    <row r="3" spans="1:5" x14ac:dyDescent="0.2">
      <c r="A3" t="str">
        <f>HYPERLINK("http://djentle.aether.feralhosting.com/norm", "http://djentle.aether.feralhosting.com/norm")</f>
        <v>http://djentle.aether.feralhosting.com/norm</v>
      </c>
      <c r="B3" t="s">
        <v>5</v>
      </c>
      <c r="C3" t="str">
        <f>HYPERLINK("https://www.reddit.com/r/opendirectories/comments/podke6", "Entire Norm Macdonald Live video podcast (2013-2018)")</f>
        <v>Entire Norm Macdonald Live video podcast (2013-2018)</v>
      </c>
      <c r="D3" t="s">
        <v>260</v>
      </c>
    </row>
    <row r="4" spans="1:5" x14ac:dyDescent="0.2">
      <c r="A4" t="str">
        <f>HYPERLINK("https://stagatvfiles.com/media/videos", "https://stagatvfiles.com/media/videos")</f>
        <v>https://stagatvfiles.com/media/videos</v>
      </c>
      <c r="B4" t="s">
        <v>5</v>
      </c>
      <c r="C4" t="str">
        <f>HYPERLINK("https://www.reddit.com/r/opendirectories/comments/pl8euq", "Large selection of unsorted TVShows, some Movies, various sizes/resolutions")</f>
        <v>Large selection of unsorted TVShows, some Movies, various sizes/resolutions</v>
      </c>
      <c r="D4" t="s">
        <v>261</v>
      </c>
    </row>
    <row r="5" spans="1:5" x14ac:dyDescent="0.2">
      <c r="A5" t="str">
        <f>HYPERLINK("https://hakase.lilprincess.xyz/storage", "https://hakase.lilprincess.xyz/storage")</f>
        <v>https://hakase.lilprincess.xyz/storage</v>
      </c>
      <c r="B5" t="s">
        <v>5</v>
      </c>
      <c r="C5" t="str">
        <f>HYPERLINK("https://www.reddit.com/r/opendirectories/comments/owjba3", "[NSFW] Music Videos, Music, TV Shows, Android Apps, OnlyFans Rips")</f>
        <v>[NSFW] Music Videos, Music, TV Shows, Android Apps, OnlyFans Rips</v>
      </c>
      <c r="D5" t="s">
        <v>18</v>
      </c>
    </row>
    <row r="6" spans="1:5" x14ac:dyDescent="0.2">
      <c r="A6" t="str">
        <f>HYPERLINK("http://5.196.72.204", "http://5.196.72.204")</f>
        <v>http://5.196.72.204</v>
      </c>
      <c r="B6" t="s">
        <v>5</v>
      </c>
      <c r="C6" t="str">
        <f>HYPERLINK("https://www.reddit.com/r/opendirectories/comments/pg8low", "French Music/TV/Movies and other misc items")</f>
        <v>French Music/TV/Movies and other misc items</v>
      </c>
      <c r="D6" t="s">
        <v>364</v>
      </c>
      <c r="E6" t="s">
        <v>51</v>
      </c>
    </row>
    <row r="7" spans="1:5" x14ac:dyDescent="0.2">
      <c r="A7" t="str">
        <f>HYPERLINK("http://fina.dyndns.tv", "http://fina.dyndns.tv")</f>
        <v>http://fina.dyndns.tv</v>
      </c>
      <c r="B7" t="s">
        <v>5</v>
      </c>
      <c r="C7" t="str">
        <f>HYPERLINK("https://www.reddit.com/r/opendirectories/comments/gsl3t5", "Few Series")</f>
        <v>Few Series</v>
      </c>
      <c r="D7" t="s">
        <v>262</v>
      </c>
      <c r="E7" t="s">
        <v>263</v>
      </c>
    </row>
    <row r="8" spans="1:5" x14ac:dyDescent="0.2">
      <c r="A8" t="str">
        <f>HYPERLINK("http://144.217.177.36:4742", "http://144.217.177.36:4742")</f>
        <v>http://144.217.177.36:4742</v>
      </c>
      <c r="B8" t="s">
        <v>5</v>
      </c>
      <c r="C8" t="str">
        <f>HYPERLINK("https://www.reddit.com/r/opendirectories/comments/kwctmn", "Movies/TV/Anime/Apps/Audiobooks/Ebooks/Games/Movies/Music -- Something for everyone!!")</f>
        <v>Movies/TV/Anime/Apps/Audiobooks/Ebooks/Games/Movies/Music -- Something for everyone!!</v>
      </c>
      <c r="D8" t="s">
        <v>365</v>
      </c>
    </row>
    <row r="9" spans="1:5" x14ac:dyDescent="0.2">
      <c r="A9" t="str">
        <f>HYPERLINK("http://imsolost.com", "http://imsolost.com")</f>
        <v>http://imsolost.com</v>
      </c>
      <c r="B9" t="s">
        <v>5</v>
      </c>
      <c r="C9" t="str">
        <f>HYPERLINK("https://www.reddit.com/r/opendirectories/comments/p3gjhf", "____ For Dummies. Around 550 books from the For Dummies Series")</f>
        <v>____ For Dummies. Around 550 books from the For Dummies Series</v>
      </c>
      <c r="D9" t="s">
        <v>440</v>
      </c>
    </row>
    <row r="10" spans="1:5" x14ac:dyDescent="0.2">
      <c r="A10" t="str">
        <f>HYPERLINK("https://manual.calibre-ebook.com", "https://manual.calibre-ebook.com")</f>
        <v>https://manual.calibre-ebook.com</v>
      </c>
      <c r="B10" t="s">
        <v>5</v>
      </c>
      <c r="C10" t="str">
        <f>HYPERLINK("https://www.reddit.com/r/opendirectories/comments/n710jf", "CALISHOT 2021-05: Find ebooks among 416 Calibre sites")</f>
        <v>CALISHOT 2021-05: Find ebooks among 416 Calibre sites</v>
      </c>
      <c r="D10" t="s">
        <v>31</v>
      </c>
      <c r="E10" t="s">
        <v>14</v>
      </c>
    </row>
    <row r="11" spans="1:5" x14ac:dyDescent="0.2">
      <c r="A11" t="str">
        <f>HYPERLINK("http://87.89.227.77", "http://87.89.227.77")</f>
        <v>http://87.89.227.77</v>
      </c>
      <c r="B11" t="s">
        <v>5</v>
      </c>
      <c r="C11" t="str">
        <f>HYPERLINK("https://www.reddit.com/r/opendirectories/comments/owjf7x", "Ebooks, Windows Games, TV Shows, Movies")</f>
        <v>Ebooks, Windows Games, TV Shows, Movies</v>
      </c>
      <c r="D11" t="s">
        <v>18</v>
      </c>
    </row>
    <row r="12" spans="1:5" x14ac:dyDescent="0.2">
      <c r="A12" t="str">
        <f>HYPERLINK("http://dl2.parsmovies.net", "http://dl2.parsmovies.net")</f>
        <v>http://dl2.parsmovies.net</v>
      </c>
      <c r="B12" t="s">
        <v>5</v>
      </c>
      <c r="C12" t="str">
        <f>HYPERLINK("https://www.reddit.com/r/opendirectories/comments/owj8cy", "TV Shows &amp;amp; Movies")</f>
        <v>TV Shows &amp;amp; Movies</v>
      </c>
      <c r="D12" t="s">
        <v>18</v>
      </c>
    </row>
    <row r="13" spans="1:5" x14ac:dyDescent="0.2">
      <c r="A13" t="str">
        <f>HYPERLINK("http://201.172.61.81:82", "http://201.172.61.81:82")</f>
        <v>http://201.172.61.81:82</v>
      </c>
      <c r="B13" t="s">
        <v>5</v>
      </c>
      <c r="C13" t="str">
        <f>HYPERLINK("https://www.reddit.com/r/opendirectories/comments/owj6kn", "Movies &amp;amp; TV Shows")</f>
        <v>Movies &amp;amp; TV Shows</v>
      </c>
      <c r="D13" t="s">
        <v>18</v>
      </c>
    </row>
    <row r="14" spans="1:5" x14ac:dyDescent="0.2">
      <c r="A14" t="str">
        <f>HYPERLINK("https://dl2.fastmovie.ir/Animation", "https://dl2.fastmovie.ir/Animation")</f>
        <v>https://dl2.fastmovie.ir/Animation</v>
      </c>
      <c r="B14" t="s">
        <v>5</v>
      </c>
      <c r="C14" t="str">
        <f>HYPERLINK("https://www.reddit.com/r/opendirectories/comments/owj6bt", "Animation Series Farsi Dubbed")</f>
        <v>Animation Series Farsi Dubbed</v>
      </c>
      <c r="D14" t="s">
        <v>18</v>
      </c>
    </row>
    <row r="15" spans="1:5" x14ac:dyDescent="0.2">
      <c r="A15" t="str">
        <f>HYPERLINK("https://s1.my-film.pw", "https://s1.my-film.pw")</f>
        <v>https://s1.my-film.pw</v>
      </c>
      <c r="B15" t="s">
        <v>5</v>
      </c>
      <c r="C15" t="str">
        <f>HYPERLINK("https://www.reddit.com/r/opendirectories/comments/owj5uz", "Movies, Music, TV Shows")</f>
        <v>Movies, Music, TV Shows</v>
      </c>
      <c r="D15" t="s">
        <v>18</v>
      </c>
    </row>
    <row r="16" spans="1:5" x14ac:dyDescent="0.2">
      <c r="A16" t="str">
        <f>HYPERLINK("http://dl.iranzirnevis.com/Series", "http://dl.iranzirnevis.com/Series")</f>
        <v>http://dl.iranzirnevis.com/Series</v>
      </c>
      <c r="B16" t="s">
        <v>5</v>
      </c>
      <c r="C16" t="str">
        <f>HYPERLINK("https://www.reddit.com/r/opendirectories/comments/owj4bh", "Subtitles for TV Shows")</f>
        <v>Subtitles for TV Shows</v>
      </c>
      <c r="D16" t="s">
        <v>18</v>
      </c>
    </row>
    <row r="17" spans="1:5" x14ac:dyDescent="0.2">
      <c r="A17" t="str">
        <f>HYPERLINK("http://download.wombat.cz", "http://download.wombat.cz")</f>
        <v>http://download.wombat.cz</v>
      </c>
      <c r="B17" t="s">
        <v>5</v>
      </c>
      <c r="C17" t="str">
        <f>HYPERLINK("https://www.reddit.com/r/opendirectories/comments/owj3yu", "TV Shows &amp;amp; Software")</f>
        <v>TV Shows &amp;amp; Software</v>
      </c>
      <c r="D17" t="s">
        <v>18</v>
      </c>
    </row>
    <row r="18" spans="1:5" x14ac:dyDescent="0.2">
      <c r="A18" t="str">
        <f>HYPERLINK("https://storage.kanzaki.ru", "https://storage.kanzaki.ru")</f>
        <v>https://storage.kanzaki.ru</v>
      </c>
      <c r="B18" t="s">
        <v>5</v>
      </c>
      <c r="C18" t="str">
        <f>HYPERLINK("https://www.reddit.com/r/opendirectories/comments/nusea4", "Lots of anime")</f>
        <v>Lots of anime</v>
      </c>
      <c r="D18" t="s">
        <v>366</v>
      </c>
      <c r="E18" t="s">
        <v>367</v>
      </c>
    </row>
    <row r="19" spans="1:5" x14ac:dyDescent="0.2">
      <c r="A19" t="str">
        <f>HYPERLINK("http://www.pcmontseny.com", "http://www.pcmontseny.com")</f>
        <v>http://www.pcmontseny.com</v>
      </c>
      <c r="B19" t="s">
        <v>5</v>
      </c>
      <c r="C19" t="str">
        <f>HYPERLINK("https://www.reddit.com/r/opendirectories/comments/outkfm", "[SP] TV Shows, Apps, Switch ROMs")</f>
        <v>[SP] TV Shows, Apps, Switch ROMs</v>
      </c>
      <c r="D19" t="s">
        <v>19</v>
      </c>
    </row>
    <row r="20" spans="1:5" x14ac:dyDescent="0.2">
      <c r="A20" t="str">
        <f>HYPERLINK("http://93.187.200.64", "http://93.187.200.64")</f>
        <v>http://93.187.200.64</v>
      </c>
      <c r="B20" t="s">
        <v>5</v>
      </c>
      <c r="C20" t="str">
        <f>HYPERLINK("https://www.reddit.com/r/opendirectories/comments/jru1jr", "Movies/Series in English - Part 6")</f>
        <v>Movies/Series in English - Part 6</v>
      </c>
      <c r="D20" t="s">
        <v>368</v>
      </c>
      <c r="E20" t="s">
        <v>14</v>
      </c>
    </row>
    <row r="21" spans="1:5" x14ac:dyDescent="0.2">
      <c r="A21" t="str">
        <f>HYPERLINK("http://85.17.156.33", "http://85.17.156.33")</f>
        <v>http://85.17.156.33</v>
      </c>
      <c r="B21" t="s">
        <v>5</v>
      </c>
      <c r="C21" t="str">
        <f>HYPERLINK("https://www.reddit.com/r/opendirectories/comments/oumyj3", "Windows Games, Movies, TV Shows, &amp;amp; Music")</f>
        <v>Windows Games, Movies, TV Shows, &amp;amp; Music</v>
      </c>
      <c r="D21" t="s">
        <v>19</v>
      </c>
    </row>
    <row r="22" spans="1:5" x14ac:dyDescent="0.2">
      <c r="A22" t="str">
        <f>HYPERLINK("https://dl5.win2farsi.com", "https://dl5.win2farsi.com")</f>
        <v>https://dl5.win2farsi.com</v>
      </c>
      <c r="B22" t="s">
        <v>5</v>
      </c>
      <c r="C22" t="str">
        <f>HYPERLINK("https://www.reddit.com/r/opendirectories/comments/oumosf", "Windows Apps, Games, Movies, TV Shows")</f>
        <v>Windows Apps, Games, Movies, TV Shows</v>
      </c>
      <c r="D22" t="s">
        <v>19</v>
      </c>
    </row>
    <row r="23" spans="1:5" x14ac:dyDescent="0.2">
      <c r="A23" t="str">
        <f>HYPERLINK("http://76.242.29.107", "http://76.242.29.107")</f>
        <v>http://76.242.29.107</v>
      </c>
      <c r="B23" t="s">
        <v>5</v>
      </c>
      <c r="C23" t="str">
        <f>HYPERLINK("https://www.reddit.com/r/opendirectories/comments/ou695k", "Apps, Games, Movies, Anime, TV Shows, etc")</f>
        <v>Apps, Games, Movies, Anime, TV Shows, etc</v>
      </c>
      <c r="D23" t="s">
        <v>20</v>
      </c>
    </row>
    <row r="24" spans="1:5" x14ac:dyDescent="0.2">
      <c r="A24" t="str">
        <f>HYPERLINK("http://casabasel.webhop.me:12000/tedesco", "http://casabasel.webhop.me:12000/tedesco")</f>
        <v>http://casabasel.webhop.me:12000/tedesco</v>
      </c>
      <c r="B24" t="s">
        <v>5</v>
      </c>
      <c r="C24" t="str">
        <f>HYPERLINK("https://www.reddit.com/r/opendirectories/comments/otc2cz", "Movies/TV Shows (Mostly German)")</f>
        <v>Movies/TV Shows (Mostly German)</v>
      </c>
      <c r="D24" t="s">
        <v>21</v>
      </c>
      <c r="E24" t="s">
        <v>186</v>
      </c>
    </row>
    <row r="25" spans="1:5" x14ac:dyDescent="0.2">
      <c r="A25" t="str">
        <f>HYPERLINK("http://ftp.1tvch.ru", "http://ftp.1tvch.ru")</f>
        <v>http://ftp.1tvch.ru</v>
      </c>
      <c r="B25" t="s">
        <v>5</v>
      </c>
      <c r="C25" t="str">
        <f>HYPERLINK("https://www.reddit.com/r/opendirectories/comments/ojhdrt", "an index of Kazakhstani(?) TV channels and shows")</f>
        <v>an index of Kazakhstani(?) TV channels and shows</v>
      </c>
      <c r="D25" t="s">
        <v>264</v>
      </c>
    </row>
    <row r="26" spans="1:5" x14ac:dyDescent="0.2">
      <c r="A26" t="str">
        <f>HYPERLINK("https://tartarus.feralhosting.com/firepig", "https://tartarus.feralhosting.com/firepig")</f>
        <v>https://tartarus.feralhosting.com/firepig</v>
      </c>
      <c r="B26" t="s">
        <v>5</v>
      </c>
      <c r="D26" t="s">
        <v>265</v>
      </c>
    </row>
    <row r="27" spans="1:5" x14ac:dyDescent="0.2">
      <c r="A27" t="str">
        <f>HYPERLINK("http://173.249.45.226", "http://173.249.45.226")</f>
        <v>http://173.249.45.226</v>
      </c>
      <c r="B27" t="s">
        <v>5</v>
      </c>
      <c r="C27" t="str">
        <f>HYPERLINK("https://www.reddit.com/r/opendirectories/comments/jsa626", "JAV Galore, Hentai, Amat, ...")</f>
        <v>JAV Galore, Hentai, Amat, ...</v>
      </c>
      <c r="D27" t="s">
        <v>266</v>
      </c>
      <c r="E27" t="s">
        <v>441</v>
      </c>
    </row>
    <row r="28" spans="1:5" x14ac:dyDescent="0.2">
      <c r="A28" t="str">
        <f>HYPERLINK("http://135.181.113.216:9000", "http://135.181.113.216:9000")</f>
        <v>http://135.181.113.216:9000</v>
      </c>
      <c r="B28" t="s">
        <v>5</v>
      </c>
      <c r="C28" t="str">
        <f>HYPERLINK("https://www.reddit.com/r/opendirectories/comments/o5n7qj", "Movies, tvshows, music, anime and ebooks")</f>
        <v>Movies, tvshows, music, anime and ebooks</v>
      </c>
      <c r="D28" t="s">
        <v>268</v>
      </c>
      <c r="E28" t="s">
        <v>14</v>
      </c>
    </row>
    <row r="29" spans="1:5" x14ac:dyDescent="0.2">
      <c r="A29" t="str">
        <f>HYPERLINK("http://188.165.227.112", "http://188.165.227.112")</f>
        <v>http://188.165.227.112</v>
      </c>
      <c r="B29" t="s">
        <v>5</v>
      </c>
      <c r="C29" t="str">
        <f>HYPERLINK("https://www.reddit.com/r/opendirectories/comments/nkkq2m", "🎠🎠🎠")</f>
        <v>🎠🎠🎠</v>
      </c>
      <c r="D29" t="s">
        <v>375</v>
      </c>
      <c r="E29" t="s">
        <v>51</v>
      </c>
    </row>
    <row r="30" spans="1:5" x14ac:dyDescent="0.2">
      <c r="A30" t="str">
        <f>HYPERLINK("http://173.249.48.243", "http://173.249.48.243")</f>
        <v>http://173.249.48.243</v>
      </c>
      <c r="B30" t="s">
        <v>5</v>
      </c>
      <c r="C30" t="str">
        <f>HYPERLINK("https://www.reddit.com/r/opendirectories/comments/nwdast", "Animation and kids movies, fast speeds")</f>
        <v>Animation and kids movies, fast speeds</v>
      </c>
      <c r="D30" t="s">
        <v>376</v>
      </c>
      <c r="E30" t="s">
        <v>14</v>
      </c>
    </row>
    <row r="31" spans="1:5" x14ac:dyDescent="0.2">
      <c r="A31" t="str">
        <f>HYPERLINK("http://54.39.157.211", "http://54.39.157.211")</f>
        <v>http://54.39.157.211</v>
      </c>
      <c r="B31" t="s">
        <v>5</v>
      </c>
      <c r="C31" t="str">
        <f>HYPERLINK("https://www.reddit.com/r/opendirectories/comments/jsa66s", "Latin movies/series or movies/series dubbed/subtitled in [POR][SPA] - Part 1")</f>
        <v>Latin movies/series or movies/series dubbed/subtitled in [POR][SPA] - Part 1</v>
      </c>
      <c r="D31" t="s">
        <v>266</v>
      </c>
      <c r="E31" t="s">
        <v>442</v>
      </c>
    </row>
    <row r="32" spans="1:5" x14ac:dyDescent="0.2">
      <c r="A32" t="str">
        <f>HYPERLINK("http://129.56.32.125:8082", "http://129.56.32.125:8082")</f>
        <v>http://129.56.32.125:8082</v>
      </c>
      <c r="B32" t="s">
        <v>5</v>
      </c>
      <c r="C32" t="str">
        <f>HYPERLINK("https://www.reddit.com/r/opendirectories/comments/ns1z0c", "Movies,Series... in English [ENG] - Part 3")</f>
        <v>Movies,Series... in English [ENG] - Part 3</v>
      </c>
      <c r="D32" t="s">
        <v>270</v>
      </c>
      <c r="E32" t="s">
        <v>14</v>
      </c>
    </row>
    <row r="33" spans="1:5" x14ac:dyDescent="0.2">
      <c r="A33" t="str">
        <f>HYPERLINK("http://82.30.175.147", "http://82.30.175.147")</f>
        <v>http://82.30.175.147</v>
      </c>
      <c r="B33" t="s">
        <v>5</v>
      </c>
      <c r="C33" t="str">
        <f>HYPERLINK("https://www.reddit.com/r/opendirectories/comments/ns1z0c", "Movies,Series... in English [ENG] - Part 3")</f>
        <v>Movies,Series... in English [ENG] - Part 3</v>
      </c>
      <c r="D33" t="s">
        <v>270</v>
      </c>
      <c r="E33" t="s">
        <v>14</v>
      </c>
    </row>
    <row r="34" spans="1:5" x14ac:dyDescent="0.2">
      <c r="A34" t="str">
        <f>HYPERLINK("https://sphorus.thoas.feralhosting.com", "https://sphorus.thoas.feralhosting.com")</f>
        <v>https://sphorus.thoas.feralhosting.com</v>
      </c>
      <c r="B34" t="s">
        <v>5</v>
      </c>
      <c r="C34" t="str">
        <f>HYPERLINK("https://www.reddit.com/r/opendirectories/comments/ns1z0c", "Movies,Series... in English [ENG] - Part 3")</f>
        <v>Movies,Series... in English [ENG] - Part 3</v>
      </c>
      <c r="D34" t="s">
        <v>270</v>
      </c>
      <c r="E34" t="s">
        <v>14</v>
      </c>
    </row>
    <row r="35" spans="1:5" x14ac:dyDescent="0.2">
      <c r="A35" t="str">
        <f>HYPERLINK("http://dl6.doostihaa.com/Animation/2020", "http://dl6.doostihaa.com/Animation/2020")</f>
        <v>http://dl6.doostihaa.com/Animation/2020</v>
      </c>
      <c r="B35" t="s">
        <v>5</v>
      </c>
      <c r="C35" t="str">
        <f>HYPERLINK("https://www.reddit.com/r/opendirectories/comments/ns1z0c", "Movies,Series... in English [ENG] - Part 3")</f>
        <v>Movies,Series... in English [ENG] - Part 3</v>
      </c>
      <c r="D35" t="s">
        <v>270</v>
      </c>
      <c r="E35" t="s">
        <v>14</v>
      </c>
    </row>
    <row r="36" spans="1:5" x14ac:dyDescent="0.2">
      <c r="A36" t="str">
        <f>HYPERLINK("http://103.222.20.150/ftpdata", "http://103.222.20.150/ftpdata")</f>
        <v>http://103.222.20.150/ftpdata</v>
      </c>
      <c r="B36" t="s">
        <v>5</v>
      </c>
      <c r="C36" t="str">
        <f>HYPERLINK("https://www.reddit.com/r/opendirectories/comments/ns5d3w", "Random movies tv series")</f>
        <v>Random movies tv series</v>
      </c>
      <c r="D36" t="s">
        <v>270</v>
      </c>
      <c r="E36" t="s">
        <v>443</v>
      </c>
    </row>
    <row r="37" spans="1:5" x14ac:dyDescent="0.2">
      <c r="A37" t="str">
        <f>HYPERLINK("http://prisoner627.gegenees.feralhosting.com", "http://prisoner627.gegenees.feralhosting.com")</f>
        <v>http://prisoner627.gegenees.feralhosting.com</v>
      </c>
      <c r="B37" t="s">
        <v>5</v>
      </c>
      <c r="C37" t="str">
        <f t="shared" ref="C37:C45" si="0">HYPERLINK("https://www.reddit.com/r/opendirectories/comments/ns2wcv", "Movies,Series... in English [ENG] - Part 5")</f>
        <v>Movies,Series... in English [ENG] - Part 5</v>
      </c>
      <c r="D37" t="s">
        <v>270</v>
      </c>
      <c r="E37" t="s">
        <v>14</v>
      </c>
    </row>
    <row r="38" spans="1:5" x14ac:dyDescent="0.2">
      <c r="A38" t="str">
        <f>HYPERLINK("http://37.187.98.179", "http://37.187.98.179")</f>
        <v>http://37.187.98.179</v>
      </c>
      <c r="B38" t="s">
        <v>5</v>
      </c>
      <c r="C38" t="str">
        <f t="shared" si="0"/>
        <v>Movies,Series... in English [ENG] - Part 5</v>
      </c>
      <c r="D38" t="s">
        <v>270</v>
      </c>
      <c r="E38" t="s">
        <v>14</v>
      </c>
    </row>
    <row r="39" spans="1:5" x14ac:dyDescent="0.2">
      <c r="A39" t="str">
        <f>HYPERLINK("http://207.180.202.23", "http://207.180.202.23")</f>
        <v>http://207.180.202.23</v>
      </c>
      <c r="B39" t="s">
        <v>5</v>
      </c>
      <c r="C39" t="str">
        <f t="shared" si="0"/>
        <v>Movies,Series... in English [ENG] - Part 5</v>
      </c>
      <c r="D39" t="s">
        <v>270</v>
      </c>
      <c r="E39" t="s">
        <v>444</v>
      </c>
    </row>
    <row r="40" spans="1:5" x14ac:dyDescent="0.2">
      <c r="A40" t="str">
        <f>HYPERLINK("http://dl1.doostihaa.com/files/Doc", "http://dl1.doostihaa.com/files/Doc")</f>
        <v>http://dl1.doostihaa.com/files/Doc</v>
      </c>
      <c r="B40" t="s">
        <v>5</v>
      </c>
      <c r="C40" t="str">
        <f t="shared" si="0"/>
        <v>Movies,Series... in English [ENG] - Part 5</v>
      </c>
      <c r="D40" t="s">
        <v>270</v>
      </c>
      <c r="E40" t="s">
        <v>14</v>
      </c>
    </row>
    <row r="41" spans="1:5" x14ac:dyDescent="0.2">
      <c r="A41" t="str">
        <f>HYPERLINK("http://134.122.55.201", "http://134.122.55.201")</f>
        <v>http://134.122.55.201</v>
      </c>
      <c r="B41" t="s">
        <v>5</v>
      </c>
      <c r="C41" t="str">
        <f t="shared" si="0"/>
        <v>Movies,Series... in English [ENG] - Part 5</v>
      </c>
      <c r="D41" t="s">
        <v>270</v>
      </c>
      <c r="E41" t="s">
        <v>445</v>
      </c>
    </row>
    <row r="42" spans="1:5" x14ac:dyDescent="0.2">
      <c r="A42" t="str">
        <f>HYPERLINK("http://167.114.174.132:9092", "http://167.114.174.132:9092")</f>
        <v>http://167.114.174.132:9092</v>
      </c>
      <c r="B42" t="s">
        <v>5</v>
      </c>
      <c r="C42" t="str">
        <f t="shared" si="0"/>
        <v>Movies,Series... in English [ENG] - Part 5</v>
      </c>
      <c r="D42" t="s">
        <v>270</v>
      </c>
      <c r="E42" t="s">
        <v>14</v>
      </c>
    </row>
    <row r="43" spans="1:5" x14ac:dyDescent="0.2">
      <c r="A43" t="str">
        <f>HYPERLINK("http://195.154.235.161:8888", "http://195.154.235.161:8888")</f>
        <v>http://195.154.235.161:8888</v>
      </c>
      <c r="B43" t="s">
        <v>5</v>
      </c>
      <c r="C43" t="str">
        <f t="shared" si="0"/>
        <v>Movies,Series... in English [ENG] - Part 5</v>
      </c>
      <c r="D43" t="s">
        <v>270</v>
      </c>
      <c r="E43" t="s">
        <v>14</v>
      </c>
    </row>
    <row r="44" spans="1:5" x14ac:dyDescent="0.2">
      <c r="A44" t="str">
        <f>HYPERLINK("http://207.96.127.51:8800", "http://207.96.127.51:8800")</f>
        <v>http://207.96.127.51:8800</v>
      </c>
      <c r="B44" t="s">
        <v>5</v>
      </c>
      <c r="C44" t="str">
        <f t="shared" si="0"/>
        <v>Movies,Series... in English [ENG] - Part 5</v>
      </c>
      <c r="D44" t="s">
        <v>270</v>
      </c>
      <c r="E44" t="s">
        <v>14</v>
      </c>
    </row>
    <row r="45" spans="1:5" x14ac:dyDescent="0.2">
      <c r="A45" t="str">
        <f>HYPERLINK("http://167.86.72.208", "http://167.86.72.208")</f>
        <v>http://167.86.72.208</v>
      </c>
      <c r="B45" t="s">
        <v>5</v>
      </c>
      <c r="C45" t="str">
        <f t="shared" si="0"/>
        <v>Movies,Series... in English [ENG] - Part 5</v>
      </c>
      <c r="D45" t="s">
        <v>270</v>
      </c>
      <c r="E45" t="s">
        <v>14</v>
      </c>
    </row>
    <row r="46" spans="1:5" x14ac:dyDescent="0.2">
      <c r="A46" t="str">
        <f>HYPERLINK("http://62.171.178.53:86", "http://62.171.178.53:86")</f>
        <v>http://62.171.178.53:86</v>
      </c>
      <c r="B46" t="s">
        <v>5</v>
      </c>
      <c r="C46" t="str">
        <f t="shared" ref="C46:C51" si="1">HYPERLINK("https://www.reddit.com/r/opendirectories/comments/ns2avz", "Movies,Series... in English [ENG] - Part 4")</f>
        <v>Movies,Series... in English [ENG] - Part 4</v>
      </c>
      <c r="D46" t="s">
        <v>270</v>
      </c>
      <c r="E46" t="s">
        <v>14</v>
      </c>
    </row>
    <row r="47" spans="1:5" x14ac:dyDescent="0.2">
      <c r="A47" t="str">
        <f>HYPERLINK("http://161.53.212.124", "http://161.53.212.124")</f>
        <v>http://161.53.212.124</v>
      </c>
      <c r="B47" t="s">
        <v>5</v>
      </c>
      <c r="C47" t="str">
        <f t="shared" si="1"/>
        <v>Movies,Series... in English [ENG] - Part 4</v>
      </c>
      <c r="D47" t="s">
        <v>270</v>
      </c>
      <c r="E47" t="s">
        <v>14</v>
      </c>
    </row>
    <row r="48" spans="1:5" x14ac:dyDescent="0.2">
      <c r="A48" t="str">
        <f>HYPERLINK("https://163.172.141.136:4443", "https://163.172.141.136:4443")</f>
        <v>https://163.172.141.136:4443</v>
      </c>
      <c r="B48" t="s">
        <v>5</v>
      </c>
      <c r="C48" t="str">
        <f t="shared" si="1"/>
        <v>Movies,Series... in English [ENG] - Part 4</v>
      </c>
      <c r="D48" t="s">
        <v>270</v>
      </c>
      <c r="E48" t="s">
        <v>14</v>
      </c>
    </row>
    <row r="49" spans="1:5" x14ac:dyDescent="0.2">
      <c r="A49" t="str">
        <f>HYPERLINK("http://145.40.71.25:8001", "http://145.40.71.25:8001")</f>
        <v>http://145.40.71.25:8001</v>
      </c>
      <c r="B49" t="s">
        <v>5</v>
      </c>
      <c r="C49" t="str">
        <f t="shared" si="1"/>
        <v>Movies,Series... in English [ENG] - Part 4</v>
      </c>
      <c r="D49" t="s">
        <v>270</v>
      </c>
      <c r="E49" t="s">
        <v>14</v>
      </c>
    </row>
    <row r="50" spans="1:5" x14ac:dyDescent="0.2">
      <c r="A50" t="str">
        <f>HYPERLINK("http://188.226.162.117", "http://188.226.162.117")</f>
        <v>http://188.226.162.117</v>
      </c>
      <c r="B50" t="s">
        <v>5</v>
      </c>
      <c r="C50" t="str">
        <f t="shared" si="1"/>
        <v>Movies,Series... in English [ENG] - Part 4</v>
      </c>
      <c r="D50" t="s">
        <v>270</v>
      </c>
      <c r="E50" t="s">
        <v>14</v>
      </c>
    </row>
    <row r="51" spans="1:5" x14ac:dyDescent="0.2">
      <c r="A51" t="str">
        <f>HYPERLINK("http://89.91.159.6:8080", "http://89.91.159.6:8080")</f>
        <v>http://89.91.159.6:8080</v>
      </c>
      <c r="B51" t="s">
        <v>5</v>
      </c>
      <c r="C51" t="str">
        <f t="shared" si="1"/>
        <v>Movies,Series... in English [ENG] - Part 4</v>
      </c>
      <c r="D51" t="s">
        <v>270</v>
      </c>
      <c r="E51" t="s">
        <v>14</v>
      </c>
    </row>
    <row r="52" spans="1:5" x14ac:dyDescent="0.2">
      <c r="A52" t="str">
        <f>HYPERLINK("http://91.121.79.24", "http://91.121.79.24")</f>
        <v>http://91.121.79.24</v>
      </c>
      <c r="B52" t="s">
        <v>5</v>
      </c>
      <c r="C52" t="str">
        <f>HYPERLINK("https://www.reddit.com/r/opendirectories/comments/ns1kdi", "Movies,Series... in English [ENG] - Part 2")</f>
        <v>Movies,Series... in English [ENG] - Part 2</v>
      </c>
      <c r="D52" t="s">
        <v>270</v>
      </c>
      <c r="E52" t="s">
        <v>14</v>
      </c>
    </row>
    <row r="53" spans="1:5" x14ac:dyDescent="0.2">
      <c r="A53" t="str">
        <f>HYPERLINK("http://108.28.249.229", "http://108.28.249.229")</f>
        <v>http://108.28.249.229</v>
      </c>
      <c r="B53" t="s">
        <v>5</v>
      </c>
      <c r="C53" t="str">
        <f>HYPERLINK("https://www.reddit.com/r/opendirectories/comments/ns1kdi", "Movies,Series... in English [ENG] - Part 2")</f>
        <v>Movies,Series... in English [ENG] - Part 2</v>
      </c>
      <c r="D53" t="s">
        <v>270</v>
      </c>
      <c r="E53" t="s">
        <v>14</v>
      </c>
    </row>
    <row r="54" spans="1:5" x14ac:dyDescent="0.2">
      <c r="A54" t="str">
        <f>HYPERLINK("http://173.90.172.11:9999", "http://173.90.172.11:9999")</f>
        <v>http://173.90.172.11:9999</v>
      </c>
      <c r="B54" t="s">
        <v>5</v>
      </c>
      <c r="C54" t="str">
        <f>HYPERLINK("https://www.reddit.com/r/opendirectories/comments/ns1kdi", "Movies,Series... in English [ENG] - Part 2")</f>
        <v>Movies,Series... in English [ENG] - Part 2</v>
      </c>
      <c r="D54" t="s">
        <v>270</v>
      </c>
      <c r="E54" t="s">
        <v>14</v>
      </c>
    </row>
    <row r="55" spans="1:5" x14ac:dyDescent="0.2">
      <c r="A55" t="str">
        <f>HYPERLINK("http://213.171.213.124", "http://213.171.213.124")</f>
        <v>http://213.171.213.124</v>
      </c>
      <c r="B55" t="s">
        <v>5</v>
      </c>
      <c r="C55" t="str">
        <f>HYPERLINK("https://www.reddit.com/r/opendirectories/comments/ns1ejo", "Movies,Series... in English [ENG] - Part 1")</f>
        <v>Movies,Series... in English [ENG] - Part 1</v>
      </c>
      <c r="D55" t="s">
        <v>270</v>
      </c>
      <c r="E55" t="s">
        <v>14</v>
      </c>
    </row>
    <row r="56" spans="1:5" x14ac:dyDescent="0.2">
      <c r="A56" t="str">
        <f>HYPERLINK("http://livingthrudev.com", "http://livingthrudev.com")</f>
        <v>http://livingthrudev.com</v>
      </c>
      <c r="B56" t="s">
        <v>5</v>
      </c>
      <c r="C56" t="str">
        <f>HYPERLINK("https://www.reddit.com/r/opendirectories/comments/ns1ejo", "Movies,Series... in English [ENG] - Part 1")</f>
        <v>Movies,Series... in English [ENG] - Part 1</v>
      </c>
      <c r="D56" t="s">
        <v>270</v>
      </c>
      <c r="E56" t="s">
        <v>14</v>
      </c>
    </row>
    <row r="57" spans="1:5" x14ac:dyDescent="0.2">
      <c r="A57" t="str">
        <f>HYPERLINK("http://51.159.55.55:8880", "http://51.159.55.55:8880")</f>
        <v>http://51.159.55.55:8880</v>
      </c>
      <c r="B57" t="s">
        <v>5</v>
      </c>
      <c r="C57" t="str">
        <f>HYPERLINK("https://www.reddit.com/r/opendirectories/comments/ns1ejo", "Movies,Series... in English [ENG] - Part 1")</f>
        <v>Movies,Series... in English [ENG] - Part 1</v>
      </c>
      <c r="D57" t="s">
        <v>270</v>
      </c>
      <c r="E57" t="s">
        <v>14</v>
      </c>
    </row>
    <row r="58" spans="1:5" x14ac:dyDescent="0.2">
      <c r="A58" t="str">
        <f>HYPERLINK("http://mail.achei.win", "http://mail.achei.win")</f>
        <v>http://mail.achei.win</v>
      </c>
      <c r="B58" t="s">
        <v>5</v>
      </c>
      <c r="C58" t="str">
        <f>HYPERLINK("https://www.reddit.com/r/opendirectories/comments/ns10uw", "Movies, Series ... [BRA][POR]")</f>
        <v>Movies, Series ... [BRA][POR]</v>
      </c>
      <c r="D58" t="s">
        <v>270</v>
      </c>
    </row>
    <row r="59" spans="1:5" x14ac:dyDescent="0.2">
      <c r="A59" t="str">
        <f>HYPERLINK("https://178.238.228.199", "https://178.238.228.199")</f>
        <v>https://178.238.228.199</v>
      </c>
      <c r="B59" t="s">
        <v>5</v>
      </c>
      <c r="C59" t="str">
        <f>HYPERLINK("https://www.reddit.com/r/opendirectories/comments/ns0y6c", "Movies, Series ... in Spanish [SPA]")</f>
        <v>Movies, Series ... in Spanish [SPA]</v>
      </c>
      <c r="D59" t="s">
        <v>270</v>
      </c>
      <c r="E59" t="s">
        <v>377</v>
      </c>
    </row>
    <row r="60" spans="1:5" x14ac:dyDescent="0.2">
      <c r="A60" t="str">
        <f>HYPERLINK("http://195.154.146.169", "http://195.154.146.169")</f>
        <v>http://195.154.146.169</v>
      </c>
      <c r="B60" t="s">
        <v>5</v>
      </c>
      <c r="C60" t="str">
        <f>HYPERLINK("https://www.reddit.com/r/opendirectories/comments/ns0y6c", "Movies, Series ... in Spanish [SPA]")</f>
        <v>Movies, Series ... in Spanish [SPA]</v>
      </c>
      <c r="D60" t="s">
        <v>270</v>
      </c>
      <c r="E60" t="s">
        <v>377</v>
      </c>
    </row>
    <row r="61" spans="1:5" x14ac:dyDescent="0.2">
      <c r="A61" t="str">
        <f>HYPERLINK("https://www.theclownarmy.com", "https://www.theclownarmy.com")</f>
        <v>https://www.theclownarmy.com</v>
      </c>
      <c r="B61" t="s">
        <v>5</v>
      </c>
      <c r="C61" t="str">
        <f t="shared" ref="C61:C70" si="2">HYPERLINK("https://www.reddit.com/r/opendirectories/comments/nkkq2m", "🎠🎠🎠")</f>
        <v>🎠🎠🎠</v>
      </c>
      <c r="D61" t="s">
        <v>375</v>
      </c>
    </row>
    <row r="62" spans="1:5" x14ac:dyDescent="0.2">
      <c r="A62" t="str">
        <f>HYPERLINK("https://s2.my-film.pw", "https://s2.my-film.pw")</f>
        <v>https://s2.my-film.pw</v>
      </c>
      <c r="B62" t="s">
        <v>5</v>
      </c>
      <c r="C62" t="str">
        <f t="shared" si="2"/>
        <v>🎠🎠🎠</v>
      </c>
      <c r="D62" t="s">
        <v>375</v>
      </c>
    </row>
    <row r="63" spans="1:5" x14ac:dyDescent="0.2">
      <c r="A63" t="str">
        <f>HYPERLINK("http://s3.fdll.xyz", "http://s3.fdll.xyz")</f>
        <v>http://s3.fdll.xyz</v>
      </c>
      <c r="B63" t="s">
        <v>5</v>
      </c>
      <c r="C63" t="str">
        <f t="shared" si="2"/>
        <v>🎠🎠🎠</v>
      </c>
      <c r="D63" t="s">
        <v>375</v>
      </c>
    </row>
    <row r="64" spans="1:5" x14ac:dyDescent="0.2">
      <c r="A64" t="str">
        <f>HYPERLINK("http://www.arthur-courtel.ovh", "http://www.arthur-courtel.ovh")</f>
        <v>http://www.arthur-courtel.ovh</v>
      </c>
      <c r="B64" t="s">
        <v>5</v>
      </c>
      <c r="C64" t="str">
        <f t="shared" si="2"/>
        <v>🎠🎠🎠</v>
      </c>
      <c r="D64" t="s">
        <v>375</v>
      </c>
    </row>
    <row r="65" spans="1:5" x14ac:dyDescent="0.2">
      <c r="A65" t="str">
        <f>HYPERLINK("http://jmz.ovh", "http://jmz.ovh")</f>
        <v>http://jmz.ovh</v>
      </c>
      <c r="B65" t="s">
        <v>5</v>
      </c>
      <c r="C65" t="str">
        <f t="shared" si="2"/>
        <v>🎠🎠🎠</v>
      </c>
      <c r="D65" t="s">
        <v>375</v>
      </c>
    </row>
    <row r="66" spans="1:5" x14ac:dyDescent="0.2">
      <c r="A66" t="str">
        <f>HYPERLINK("https://acdchook.net/share", "https://acdchook.net/share")</f>
        <v>https://acdchook.net/share</v>
      </c>
      <c r="B66" t="s">
        <v>5</v>
      </c>
      <c r="C66" t="str">
        <f t="shared" si="2"/>
        <v>🎠🎠🎠</v>
      </c>
      <c r="D66" t="s">
        <v>375</v>
      </c>
    </row>
    <row r="67" spans="1:5" x14ac:dyDescent="0.2">
      <c r="A67" t="str">
        <f>HYPERLINK("http://dl3.parsmovies.net", "http://dl3.parsmovies.net")</f>
        <v>http://dl3.parsmovies.net</v>
      </c>
      <c r="B67" t="s">
        <v>5</v>
      </c>
      <c r="C67" t="str">
        <f t="shared" si="2"/>
        <v>🎠🎠🎠</v>
      </c>
      <c r="D67" t="s">
        <v>375</v>
      </c>
    </row>
    <row r="68" spans="1:5" x14ac:dyDescent="0.2">
      <c r="A68" t="str">
        <f>HYPERLINK("http://dl.amy.ovh", "http://dl.amy.ovh")</f>
        <v>http://dl.amy.ovh</v>
      </c>
      <c r="B68" t="s">
        <v>5</v>
      </c>
      <c r="C68" t="str">
        <f t="shared" si="2"/>
        <v>🎠🎠🎠</v>
      </c>
      <c r="D68" t="s">
        <v>375</v>
      </c>
    </row>
    <row r="69" spans="1:5" x14ac:dyDescent="0.2">
      <c r="A69" t="str">
        <f>HYPERLINK("http://dogjdw.ipdisk.co.kr/public", "http://dogjdw.ipdisk.co.kr/public")</f>
        <v>http://dogjdw.ipdisk.co.kr/public</v>
      </c>
      <c r="B69" t="s">
        <v>5</v>
      </c>
      <c r="C69" t="str">
        <f t="shared" si="2"/>
        <v>🎠🎠🎠</v>
      </c>
      <c r="D69" t="s">
        <v>375</v>
      </c>
    </row>
    <row r="70" spans="1:5" x14ac:dyDescent="0.2">
      <c r="A70" t="str">
        <f>HYPERLINK("http://redblaze.ovh", "http://redblaze.ovh")</f>
        <v>http://redblaze.ovh</v>
      </c>
      <c r="B70" t="s">
        <v>5</v>
      </c>
      <c r="C70" t="str">
        <f t="shared" si="2"/>
        <v>🎠🎠🎠</v>
      </c>
      <c r="D70" t="s">
        <v>375</v>
      </c>
    </row>
    <row r="71" spans="1:5" x14ac:dyDescent="0.2">
      <c r="A71" t="str">
        <f>HYPERLINK("http://37.187.21.37:8080", "http://37.187.21.37:8080")</f>
        <v>http://37.187.21.37:8080</v>
      </c>
      <c r="B71" t="s">
        <v>5</v>
      </c>
      <c r="C71" t="str">
        <f>HYPERLINK("https://www.reddit.com/r/opendirectories/comments/njrq7b", "Movies And Series, Some of them are in French")</f>
        <v>Movies And Series, Some of them are in French</v>
      </c>
      <c r="D71" t="s">
        <v>380</v>
      </c>
      <c r="E71" t="s">
        <v>51</v>
      </c>
    </row>
    <row r="72" spans="1:5" x14ac:dyDescent="0.2">
      <c r="A72" t="str">
        <f>HYPERLINK("http://51.15.178.223", "http://51.15.178.223")</f>
        <v>http://51.15.178.223</v>
      </c>
      <c r="B72" t="s">
        <v>5</v>
      </c>
      <c r="C72" t="str">
        <f>HYPERLINK("https://www.reddit.com/r/opendirectories/comments/bx2qjh", "[FR/EN] Movies / TV Shows / Softwares / Music / Misc")</f>
        <v>[FR/EN] Movies / TV Shows / Softwares / Music / Misc</v>
      </c>
      <c r="D72" t="s">
        <v>273</v>
      </c>
      <c r="E72" t="s">
        <v>51</v>
      </c>
    </row>
    <row r="73" spans="1:5" x14ac:dyDescent="0.2">
      <c r="A73" t="str">
        <f>HYPERLINK("http://201.172.61.81:85", "http://201.172.61.81:85")</f>
        <v>http://201.172.61.81:85</v>
      </c>
      <c r="B73" t="s">
        <v>5</v>
      </c>
      <c r="C73" t="str">
        <f>HYPERLINK("https://www.reddit.com/r/opendirectories/comments/mgbeu7", "TV+Movies")</f>
        <v>TV+Movies</v>
      </c>
      <c r="D73" t="s">
        <v>383</v>
      </c>
      <c r="E73" t="s">
        <v>377</v>
      </c>
    </row>
    <row r="74" spans="1:5" x14ac:dyDescent="0.2">
      <c r="A74" t="str">
        <f>HYPERLINK("http://201.172.61.203:88", "http://201.172.61.203:88")</f>
        <v>http://201.172.61.203:88</v>
      </c>
      <c r="B74" t="s">
        <v>5</v>
      </c>
      <c r="C74" t="str">
        <f>HYPERLINK("https://www.reddit.com/r/opendirectories/comments/ljbxec", "Latin Movies and Series [SPA][POR][BRA] - Part 1")</f>
        <v>Latin Movies and Series [SPA][POR][BRA] - Part 1</v>
      </c>
      <c r="D74" t="s">
        <v>384</v>
      </c>
      <c r="E74" t="s">
        <v>377</v>
      </c>
    </row>
    <row r="75" spans="1:5" x14ac:dyDescent="0.2">
      <c r="A75" t="str">
        <f>HYPERLINK("https://torrent.unix-kingdom.fr", "https://torrent.unix-kingdom.fr")</f>
        <v>https://torrent.unix-kingdom.fr</v>
      </c>
      <c r="B75" t="s">
        <v>5</v>
      </c>
      <c r="C75" t="str">
        <f>HYPERLINK("https://www.reddit.com/r/opendirectories/comments/ia94f6", "Movies in french")</f>
        <v>Movies in french</v>
      </c>
      <c r="D75" t="s">
        <v>385</v>
      </c>
      <c r="E75" t="s">
        <v>51</v>
      </c>
    </row>
    <row r="76" spans="1:5" x14ac:dyDescent="0.2">
      <c r="A76" t="str">
        <f>HYPERLINK("http://lutinmalin.demeter.feralhosting.com", "http://lutinmalin.demeter.feralhosting.com")</f>
        <v>http://lutinmalin.demeter.feralhosting.com</v>
      </c>
      <c r="B76" t="s">
        <v>5</v>
      </c>
      <c r="C76" t="str">
        <f>HYPERLINK("https://www.reddit.com/r/opendirectories/comments/mkywfa", "500 greatest song!")</f>
        <v>500 greatest song!</v>
      </c>
      <c r="D76" t="s">
        <v>386</v>
      </c>
    </row>
    <row r="77" spans="1:5" x14ac:dyDescent="0.2">
      <c r="A77" t="str">
        <f>HYPERLINK("http://ns3372502.ip-37-187-7.eu/Download", "http://ns3372502.ip-37-187-7.eu/Download")</f>
        <v>http://ns3372502.ip-37-187-7.eu/Download</v>
      </c>
      <c r="B77" t="s">
        <v>5</v>
      </c>
      <c r="C77" t="str">
        <f>HYPERLINK("https://www.reddit.com/r/opendirectories/comments/mk3zib", "Anime")</f>
        <v>Anime</v>
      </c>
      <c r="D77" t="s">
        <v>387</v>
      </c>
    </row>
    <row r="78" spans="1:5" x14ac:dyDescent="0.2">
      <c r="A78" t="str">
        <f>HYPERLINK("http://144.217.176.142", "http://144.217.176.142")</f>
        <v>http://144.217.176.142</v>
      </c>
      <c r="B78" t="s">
        <v>5</v>
      </c>
      <c r="C78" t="str">
        <f>HYPERLINK("https://www.reddit.com/r/opendirectories/comments/mgbgdr", "yet more Japanese cartoons")</f>
        <v>yet more Japanese cartoons</v>
      </c>
      <c r="D78" t="s">
        <v>383</v>
      </c>
      <c r="E78" t="s">
        <v>63</v>
      </c>
    </row>
    <row r="79" spans="1:5" x14ac:dyDescent="0.2">
      <c r="A79" t="str">
        <f>HYPERLINK("http://5.135.162.62:8080", "http://5.135.162.62:8080")</f>
        <v>http://5.135.162.62:8080</v>
      </c>
      <c r="B79" t="s">
        <v>5</v>
      </c>
      <c r="C79" t="str">
        <f>HYPERLINK("https://www.reddit.com/r/opendirectories/comments/mf2pph", "Japanese cartoons")</f>
        <v>Japanese cartoons</v>
      </c>
      <c r="D79" t="s">
        <v>42</v>
      </c>
      <c r="E79" t="s">
        <v>63</v>
      </c>
    </row>
    <row r="80" spans="1:5" x14ac:dyDescent="0.2">
      <c r="A80" t="str">
        <f>HYPERLINK("http://xxxxmagazine.tv/videos", "http://xxxxmagazine.tv/videos")</f>
        <v>http://xxxxmagazine.tv/videos</v>
      </c>
      <c r="B80" t="s">
        <v>5</v>
      </c>
      <c r="C80" t="str">
        <f>HYPERLINK("https://www.reddit.com/r/opendirectories/comments/83lhq3", "Art or erotism? Erotic art? Probably NSFW for the sensitive ones.")</f>
        <v>Art or erotism? Erotic art? Probably NSFW for the sensitive ones.</v>
      </c>
      <c r="D80" t="s">
        <v>277</v>
      </c>
    </row>
    <row r="81" spans="1:5" x14ac:dyDescent="0.2">
      <c r="A81" t="str">
        <f>HYPERLINK("http://75.86.91.167", "http://75.86.91.167")</f>
        <v>http://75.86.91.167</v>
      </c>
      <c r="B81" t="s">
        <v>5</v>
      </c>
      <c r="C81" t="str">
        <f>HYPERLINK("https://www.reddit.com/r/opendirectories/comments/lztfm8", "Just some mp3's")</f>
        <v>Just some mp3's</v>
      </c>
      <c r="D81" t="s">
        <v>285</v>
      </c>
    </row>
    <row r="82" spans="1:5" x14ac:dyDescent="0.2">
      <c r="A82" t="str">
        <f>HYPERLINK("http://163.172.219.142", "http://163.172.219.142")</f>
        <v>http://163.172.219.142</v>
      </c>
      <c r="B82" t="s">
        <v>5</v>
      </c>
      <c r="C82" t="str">
        <f>HYPERLINK("https://www.reddit.com/r/opendirectories/comments/lka43t", "ODs with Movies, Series, Animes ... subtitled/dubbed in European languages [GER][ITA][POL][HUN][CZE][BOS] ...")</f>
        <v>ODs with Movies, Series, Animes ... subtitled/dubbed in European languages [GER][ITA][POL][HUN][CZE][BOS] ...</v>
      </c>
      <c r="D82" t="s">
        <v>287</v>
      </c>
    </row>
    <row r="83" spans="1:5" x14ac:dyDescent="0.2">
      <c r="A83" t="str">
        <f>HYPERLINK("http://128.199.129.79:666", "http://128.199.129.79:666")</f>
        <v>http://128.199.129.79:666</v>
      </c>
      <c r="B83" t="s">
        <v>5</v>
      </c>
      <c r="C83" t="str">
        <f>HYPERLINK("https://www.reddit.com/r/opendirectories/comments/lp8dcm", "small share")</f>
        <v>small share</v>
      </c>
      <c r="D83" t="s">
        <v>391</v>
      </c>
    </row>
    <row r="84" spans="1:5" x14ac:dyDescent="0.2">
      <c r="A84" t="str">
        <f>HYPERLINK("http://37.147.102.65:443", "http://37.147.102.65:443")</f>
        <v>http://37.147.102.65:443</v>
      </c>
      <c r="B84" t="s">
        <v>5</v>
      </c>
      <c r="C84" t="str">
        <f>HYPERLINK("https://www.reddit.com/r/opendirectories/comments/lka43t", "ODs with Movies, Series, Animes ... subtitled/dubbed in European languages [GER][ITA][POL][HUN][CZE][BOS] ...")</f>
        <v>ODs with Movies, Series, Animes ... subtitled/dubbed in European languages [GER][ITA][POL][HUN][CZE][BOS] ...</v>
      </c>
      <c r="D84" t="s">
        <v>287</v>
      </c>
    </row>
    <row r="85" spans="1:5" x14ac:dyDescent="0.2">
      <c r="A85" t="str">
        <f>HYPERLINK("http://kadak.mrak.cz", "http://kadak.mrak.cz")</f>
        <v>http://kadak.mrak.cz</v>
      </c>
      <c r="B85" t="s">
        <v>5</v>
      </c>
      <c r="C85" t="str">
        <f>HYPERLINK("https://www.reddit.com/r/opendirectories/comments/k1b690", "Czech audiobooks")</f>
        <v>Czech audiobooks</v>
      </c>
      <c r="D85" t="s">
        <v>289</v>
      </c>
    </row>
    <row r="86" spans="1:5" x14ac:dyDescent="0.2">
      <c r="A86" t="str">
        <f>HYPERLINK("http://nemo.lf1.cuni.cz/mlab/Links", "http://nemo.lf1.cuni.cz/mlab/Links")</f>
        <v>http://nemo.lf1.cuni.cz/mlab/Links</v>
      </c>
      <c r="B86" t="s">
        <v>5</v>
      </c>
      <c r="C86" t="str">
        <f>HYPERLINK("https://www.reddit.com/r/opendirectories/comments/lka43t", "ODs with Movies, Series, Animes ... subtitled/dubbed in European languages [GER][ITA][POL][HUN][CZE][BOS] ...")</f>
        <v>ODs with Movies, Series, Animes ... subtitled/dubbed in European languages [GER][ITA][POL][HUN][CZE][BOS] ...</v>
      </c>
      <c r="D86" t="s">
        <v>287</v>
      </c>
    </row>
    <row r="87" spans="1:5" x14ac:dyDescent="0.2">
      <c r="A87" t="str">
        <f>HYPERLINK("http://80.211.107.82", "http://80.211.107.82")</f>
        <v>http://80.211.107.82</v>
      </c>
      <c r="B87" t="s">
        <v>5</v>
      </c>
      <c r="C87" t="str">
        <f>HYPERLINK("https://www.reddit.com/r/opendirectories/comments/ljc4pp", "Latin Movies and Series [SPA][POR][BRA] - Part 2")</f>
        <v>Latin Movies and Series [SPA][POR][BRA] - Part 2</v>
      </c>
      <c r="D87" t="s">
        <v>384</v>
      </c>
    </row>
    <row r="88" spans="1:5" x14ac:dyDescent="0.2">
      <c r="A88" t="str">
        <f>HYPERLINK("http://201.191.1.128:8800", "http://201.191.1.128:8800")</f>
        <v>http://201.191.1.128:8800</v>
      </c>
      <c r="B88" t="s">
        <v>5</v>
      </c>
      <c r="C88" t="str">
        <f>HYPERLINK("https://www.reddit.com/r/opendirectories/comments/ljc4pp", "Latin Movies and Series [SPA][POR][BRA] - Part 2")</f>
        <v>Latin Movies and Series [SPA][POR][BRA] - Part 2</v>
      </c>
      <c r="D88" t="s">
        <v>384</v>
      </c>
    </row>
    <row r="89" spans="1:5" x14ac:dyDescent="0.2">
      <c r="A89" t="str">
        <f>HYPERLINK("http://185.148.3.146:6503", "http://185.148.3.146:6503")</f>
        <v>http://185.148.3.146:6503</v>
      </c>
      <c r="B89" t="s">
        <v>5</v>
      </c>
      <c r="C89" t="str">
        <f>HYPERLINK("https://www.reddit.com/r/opendirectories/comments/ljbxec", "Latin Movies and Series [SPA][POR][BRA] - Part 1")</f>
        <v>Latin Movies and Series [SPA][POR][BRA] - Part 1</v>
      </c>
      <c r="D89" t="s">
        <v>384</v>
      </c>
    </row>
    <row r="90" spans="1:5" x14ac:dyDescent="0.2">
      <c r="A90" t="str">
        <f>HYPERLINK("http://51.158.185.163", "http://51.158.185.163")</f>
        <v>http://51.158.185.163</v>
      </c>
      <c r="B90" t="s">
        <v>5</v>
      </c>
      <c r="C90" t="str">
        <f>HYPERLINK("https://www.reddit.com/r/opendirectories/comments/ljbxec", "Latin Movies and Series [SPA][POR][BRA] - Part 1")</f>
        <v>Latin Movies and Series [SPA][POR][BRA] - Part 1</v>
      </c>
      <c r="D90" t="s">
        <v>384</v>
      </c>
    </row>
    <row r="91" spans="1:5" x14ac:dyDescent="0.2">
      <c r="A91" t="str">
        <f>HYPERLINK("http://109.200.155.175/Музыка", "http://109.200.155.175/Музыка")</f>
        <v>http://109.200.155.175/Музыка</v>
      </c>
      <c r="B91" t="s">
        <v>5</v>
      </c>
      <c r="C91" t="str">
        <f>HYPERLINK("https://www.reddit.com/r/opendirectories/comments/li91r8", "Black Sabbath - Paranoid (1970) / Deep Purple - Machine Head (1973) / Pink Floyd - The Endless River (Deluxe) CD &amp;amp; Bluray + Lots of other stuff!!")</f>
        <v>Black Sabbath - Paranoid (1970) / Deep Purple - Machine Head (1973) / Pink Floyd - The Endless River (Deluxe) CD &amp;amp; Bluray + Lots of other stuff!!</v>
      </c>
      <c r="D91" t="s">
        <v>290</v>
      </c>
      <c r="E91" t="s">
        <v>156</v>
      </c>
    </row>
    <row r="92" spans="1:5" x14ac:dyDescent="0.2">
      <c r="A92" t="str">
        <f>HYPERLINK("http://109.200.155.175", "http://109.200.155.175")</f>
        <v>http://109.200.155.175</v>
      </c>
      <c r="B92" t="s">
        <v>5</v>
      </c>
      <c r="C92" t="str">
        <f>HYPERLINK("https://www.reddit.com/r/opendirectories/comments/li91r8", "Black Sabbath - Paranoid (1970) / Deep Purple - Machine Head (1973) / Pink Floyd - The Endless River (Deluxe) CD &amp;amp; Bluray + Lots of other stuff!!")</f>
        <v>Black Sabbath - Paranoid (1970) / Deep Purple - Machine Head (1973) / Pink Floyd - The Endless River (Deluxe) CD &amp;amp; Bluray + Lots of other stuff!!</v>
      </c>
      <c r="D92" t="s">
        <v>290</v>
      </c>
      <c r="E92" t="s">
        <v>156</v>
      </c>
    </row>
    <row r="93" spans="1:5" x14ac:dyDescent="0.2">
      <c r="A93" t="str">
        <f>HYPERLINK("http://80.211.190.99", "http://80.211.190.99")</f>
        <v>http://80.211.190.99</v>
      </c>
      <c r="B93" t="s">
        <v>5</v>
      </c>
      <c r="C93" t="str">
        <f>HYPERLINK("https://www.reddit.com/r/opendirectories/comments/lhior2", "OD with TV Shows")</f>
        <v>OD with TV Shows</v>
      </c>
      <c r="D93" t="s">
        <v>291</v>
      </c>
    </row>
    <row r="94" spans="1:5" x14ac:dyDescent="0.2">
      <c r="A94" t="str">
        <f>HYPERLINK("http://195.181.243.171", "http://195.181.243.171")</f>
        <v>http://195.181.243.171</v>
      </c>
      <c r="B94" t="s">
        <v>5</v>
      </c>
      <c r="C94" t="str">
        <f>HYPERLINK("https://www.reddit.com/r/opendirectories/comments/lh6geh", "A couple dozen anime series")</f>
        <v>A couple dozen anime series</v>
      </c>
      <c r="D94" t="s">
        <v>291</v>
      </c>
    </row>
    <row r="95" spans="1:5" x14ac:dyDescent="0.2">
      <c r="A95" t="str">
        <f>HYPERLINK("http://76.27.28.30/files", "http://76.27.28.30/files")</f>
        <v>http://76.27.28.30/files</v>
      </c>
      <c r="B95" t="s">
        <v>5</v>
      </c>
      <c r="C95" t="str">
        <f>HYPERLINK("https://www.reddit.com/r/opendirectories/comments/lcrsmi", "Index of /files/TV/Movies fast download movies and anime")</f>
        <v>Index of /files/TV/Movies fast download movies and anime</v>
      </c>
      <c r="D95" t="s">
        <v>392</v>
      </c>
    </row>
    <row r="96" spans="1:5" x14ac:dyDescent="0.2">
      <c r="A96" t="str">
        <f>HYPERLINK("http://www.phase9.tv/wp-content/uploads", "http://www.phase9.tv/wp-content/uploads")</f>
        <v>http://www.phase9.tv/wp-content/uploads</v>
      </c>
      <c r="B96" t="s">
        <v>5</v>
      </c>
      <c r="C96" t="str">
        <f>HYPERLINK("https://www.reddit.com/r/opendirectories/comments/lbpvd8", "Posters of Movies &amp;amp; TV Shows")</f>
        <v>Posters of Movies &amp;amp; TV Shows</v>
      </c>
      <c r="D96" t="s">
        <v>50</v>
      </c>
    </row>
    <row r="97" spans="1:5" x14ac:dyDescent="0.2">
      <c r="A97" t="str">
        <f>HYPERLINK("http://62-210-114-129.rev.poneytelecom.eu/dl", "http://62-210-114-129.rev.poneytelecom.eu/dl")</f>
        <v>http://62-210-114-129.rev.poneytelecom.eu/dl</v>
      </c>
      <c r="B97" t="s">
        <v>5</v>
      </c>
      <c r="C97" t="str">
        <f>HYPERLINK("https://www.reddit.com/r/opendirectories/comments/l74eth", "Stargate SG1 in best available quality")</f>
        <v>Stargate SG1 in best available quality</v>
      </c>
      <c r="D97" t="s">
        <v>446</v>
      </c>
      <c r="E97" t="s">
        <v>156</v>
      </c>
    </row>
    <row r="98" spans="1:5" x14ac:dyDescent="0.2">
      <c r="A98" t="str">
        <f>HYPERLINK("https://chiru.no/dl/Anime%20lossless%20OP%20ED%20IN%20collection", "https://chiru.no/dl/Anime%20lossless%20OP%20ED%20IN%20collection")</f>
        <v>https://chiru.no/dl/Anime%20lossless%20OP%20ED%20IN%20collection</v>
      </c>
      <c r="B98" t="s">
        <v>5</v>
      </c>
      <c r="C98" t="str">
        <f>HYPERLINK("https://www.reddit.com/r/opendirectories/comments/kxcqp1", "A lot of FLAC music from anime + fast download speed")</f>
        <v>A lot of FLAC music from anime + fast download speed</v>
      </c>
      <c r="D98" t="s">
        <v>394</v>
      </c>
    </row>
    <row r="99" spans="1:5" x14ac:dyDescent="0.2">
      <c r="A99" t="str">
        <f>HYPERLINK("https://home.pilsfree.net", "https://home.pilsfree.net")</f>
        <v>https://home.pilsfree.net</v>
      </c>
      <c r="B99" t="s">
        <v>5</v>
      </c>
      <c r="C99" t="str">
        <f>HYPERLINK("https://www.reddit.com/r/opendirectories/comments/ape43b", "list of RE-POST's")</f>
        <v>list of RE-POST's</v>
      </c>
      <c r="D99" t="s">
        <v>396</v>
      </c>
    </row>
    <row r="100" spans="1:5" x14ac:dyDescent="0.2">
      <c r="A100" t="str">
        <f>HYPERLINK("https://74.208.85.26", "https://74.208.85.26")</f>
        <v>https://74.208.85.26</v>
      </c>
      <c r="B100" t="s">
        <v>5</v>
      </c>
      <c r="C100" t="str">
        <f>HYPERLINK("https://www.reddit.com/r/opendirectories/comments/jthnfk", "A bunch of Japanese Animes in various languages (JAP, ENG, RUS, GER)")</f>
        <v>A bunch of Japanese Animes in various languages (JAP, ENG, RUS, GER)</v>
      </c>
      <c r="D100" t="s">
        <v>278</v>
      </c>
      <c r="E100" t="s">
        <v>279</v>
      </c>
    </row>
    <row r="101" spans="1:5" x14ac:dyDescent="0.2">
      <c r="A101" t="str">
        <f>HYPERLINK("http://178.32.222.82:8080", "http://178.32.222.82:8080")</f>
        <v>http://178.32.222.82:8080</v>
      </c>
      <c r="B101" t="s">
        <v>5</v>
      </c>
      <c r="C101" t="str">
        <f>HYPERLINK("https://www.reddit.com/r/opendirectories/comments/jthnfk", "A bunch of Japanese Animes in various languages (JAP, ENG, RUS, GER)")</f>
        <v>A bunch of Japanese Animes in various languages (JAP, ENG, RUS, GER)</v>
      </c>
      <c r="D101" t="s">
        <v>278</v>
      </c>
      <c r="E101" t="s">
        <v>279</v>
      </c>
    </row>
    <row r="102" spans="1:5" x14ac:dyDescent="0.2">
      <c r="A102" t="str">
        <f>HYPERLINK("http://62.122.138.133", "http://62.122.138.133")</f>
        <v>http://62.122.138.133</v>
      </c>
      <c r="B102" t="s">
        <v>5</v>
      </c>
      <c r="C102" t="str">
        <f>HYPERLINK("https://www.reddit.com/r/opendirectories/comments/jse3jd", "Various Music from all around the world")</f>
        <v>Various Music from all around the world</v>
      </c>
      <c r="D102" t="s">
        <v>266</v>
      </c>
    </row>
    <row r="103" spans="1:5" x14ac:dyDescent="0.2">
      <c r="A103" t="str">
        <f>HYPERLINK("http://177.36.2.21", "http://177.36.2.21")</f>
        <v>http://177.36.2.21</v>
      </c>
      <c r="B103" t="s">
        <v>5</v>
      </c>
      <c r="C103" t="str">
        <f>HYPERLINK("https://www.reddit.com/r/opendirectories/comments/jsa66s", "Latin movies/series or movies/series dubbed/subtitled in [POR][SPA] - Part 1")</f>
        <v>Latin movies/series or movies/series dubbed/subtitled in [POR][SPA] - Part 1</v>
      </c>
      <c r="D103" t="s">
        <v>266</v>
      </c>
    </row>
    <row r="104" spans="1:5" x14ac:dyDescent="0.2">
      <c r="A104" t="str">
        <f>HYPERLINK("http://195.154.80.170:7700", "http://195.154.80.170:7700")</f>
        <v>http://195.154.80.170:7700</v>
      </c>
      <c r="B104" t="s">
        <v>5</v>
      </c>
      <c r="C104" t="str">
        <f>HYPERLINK("https://www.reddit.com/r/opendirectories/comments/jsa66s", "Latin movies/series or movies/series dubbed/subtitled in [POR][SPA] - Part 1")</f>
        <v>Latin movies/series or movies/series dubbed/subtitled in [POR][SPA] - Part 1</v>
      </c>
      <c r="D104" t="s">
        <v>266</v>
      </c>
    </row>
    <row r="105" spans="1:5" x14ac:dyDescent="0.2">
      <c r="A105" t="str">
        <f>HYPERLINK("http://218.72.252.150:9004", "http://218.72.252.150:9004")</f>
        <v>http://218.72.252.150:9004</v>
      </c>
      <c r="B105" t="s">
        <v>5</v>
      </c>
      <c r="C105" t="str">
        <f>HYPERLINK("https://www.reddit.com/r/opendirectories/comments/jsa626", "JAV Galore, Hentai, Amat, ...")</f>
        <v>JAV Galore, Hentai, Amat, ...</v>
      </c>
      <c r="D105" t="s">
        <v>266</v>
      </c>
    </row>
    <row r="106" spans="1:5" x14ac:dyDescent="0.2">
      <c r="A106" t="str">
        <f>HYPERLINK("https://107.175.63.104", "https://107.175.63.104")</f>
        <v>https://107.175.63.104</v>
      </c>
      <c r="B106" t="s">
        <v>5</v>
      </c>
      <c r="C106" t="str">
        <f>HYPERLINK("https://www.reddit.com/r/opendirectories/comments/jsa626", "JAV Galore, Hentai, Amat, ...")</f>
        <v>JAV Galore, Hentai, Amat, ...</v>
      </c>
      <c r="D106" t="s">
        <v>266</v>
      </c>
    </row>
    <row r="107" spans="1:5" x14ac:dyDescent="0.2">
      <c r="A107" t="str">
        <f>HYPERLINK("http://91.205.172.13:9000", "http://91.205.172.13:9000")</f>
        <v>http://91.205.172.13:9000</v>
      </c>
      <c r="B107" t="s">
        <v>5</v>
      </c>
      <c r="C107" t="str">
        <f>HYPERLINK("https://www.reddit.com/r/opendirectories/comments/jsa626", "JAV Galore, Hentai, Amat, ...")</f>
        <v>JAV Galore, Hentai, Amat, ...</v>
      </c>
      <c r="D107" t="s">
        <v>266</v>
      </c>
    </row>
    <row r="108" spans="1:5" x14ac:dyDescent="0.2">
      <c r="A108" t="str">
        <f>HYPERLINK("https://37.187.96.179", "https://37.187.96.179")</f>
        <v>https://37.187.96.179</v>
      </c>
      <c r="B108" t="s">
        <v>5</v>
      </c>
      <c r="C108" t="str">
        <f>HYPERLINK("https://www.reddit.com/r/opendirectories/comments/jsa626", "JAV Galore, Hentai, Amat, ...")</f>
        <v>JAV Galore, Hentai, Amat, ...</v>
      </c>
      <c r="D108" t="s">
        <v>266</v>
      </c>
    </row>
    <row r="109" spans="1:5" x14ac:dyDescent="0.2">
      <c r="A109" t="str">
        <f>HYPERLINK("http://51.15.25.24", "http://51.15.25.24")</f>
        <v>http://51.15.25.24</v>
      </c>
      <c r="B109" t="s">
        <v>5</v>
      </c>
      <c r="C109" t="str">
        <f>HYPERLINK("https://www.reddit.com/r/opendirectories/comments/jsa626", "JAV Galore, Hentai, Amat, ...")</f>
        <v>JAV Galore, Hentai, Amat, ...</v>
      </c>
      <c r="D109" t="s">
        <v>266</v>
      </c>
    </row>
    <row r="110" spans="1:5" x14ac:dyDescent="0.2">
      <c r="A110" t="str">
        <f>HYPERLINK("http://118.69.205.201:8000", "http://118.69.205.201:8000")</f>
        <v>http://118.69.205.201:8000</v>
      </c>
      <c r="B110" t="s">
        <v>5</v>
      </c>
      <c r="C110" t="str">
        <f>HYPERLINK("https://www.reddit.com/r/opendirectories/comments/jrulnn", "Movies/Series in English - Part 7")</f>
        <v>Movies/Series in English - Part 7</v>
      </c>
      <c r="D110" t="s">
        <v>368</v>
      </c>
      <c r="E110" t="s">
        <v>14</v>
      </c>
    </row>
    <row r="111" spans="1:5" x14ac:dyDescent="0.2">
      <c r="A111" t="str">
        <f>HYPERLINK("https://75.87.136.166", "https://75.87.136.166")</f>
        <v>https://75.87.136.166</v>
      </c>
      <c r="B111" t="s">
        <v>5</v>
      </c>
      <c r="C111" t="str">
        <f>HYPERLINK("https://www.reddit.com/r/opendirectories/comments/jrulnn", "Movies/Series in English - Part 7")</f>
        <v>Movies/Series in English - Part 7</v>
      </c>
      <c r="D111" t="s">
        <v>368</v>
      </c>
      <c r="E111" t="s">
        <v>14</v>
      </c>
    </row>
    <row r="112" spans="1:5" x14ac:dyDescent="0.2">
      <c r="A112" t="str">
        <f>HYPERLINK("http://170.24.185.250", "http://170.24.185.250")</f>
        <v>http://170.24.185.250</v>
      </c>
      <c r="B112" t="s">
        <v>5</v>
      </c>
      <c r="C112" t="str">
        <f>HYPERLINK("https://www.reddit.com/r/opendirectories/comments/jrulnn", "Movies/Series in English - Part 7")</f>
        <v>Movies/Series in English - Part 7</v>
      </c>
      <c r="D112" t="s">
        <v>368</v>
      </c>
      <c r="E112" t="s">
        <v>14</v>
      </c>
    </row>
    <row r="113" spans="1:5" x14ac:dyDescent="0.2">
      <c r="A113" t="str">
        <f>HYPERLINK("http://173.249.25.170", "http://173.249.25.170")</f>
        <v>http://173.249.25.170</v>
      </c>
      <c r="B113" t="s">
        <v>5</v>
      </c>
      <c r="C113" t="str">
        <f>HYPERLINK("https://www.reddit.com/r/opendirectories/comments/jrulnn", "Movies/Series in English - Part 7")</f>
        <v>Movies/Series in English - Part 7</v>
      </c>
      <c r="D113" t="s">
        <v>368</v>
      </c>
      <c r="E113" t="s">
        <v>14</v>
      </c>
    </row>
    <row r="114" spans="1:5" x14ac:dyDescent="0.2">
      <c r="A114" t="str">
        <f>HYPERLINK("http://118.69.205.220:8000", "http://118.69.205.220:8000")</f>
        <v>http://118.69.205.220:8000</v>
      </c>
      <c r="B114" t="s">
        <v>5</v>
      </c>
      <c r="C114" t="str">
        <f>HYPERLINK("https://www.reddit.com/r/opendirectories/comments/jru1jr", "Movies/Series in English - Part 6")</f>
        <v>Movies/Series in English - Part 6</v>
      </c>
      <c r="D114" t="s">
        <v>368</v>
      </c>
      <c r="E114" t="s">
        <v>14</v>
      </c>
    </row>
    <row r="115" spans="1:5" x14ac:dyDescent="0.2">
      <c r="A115" t="str">
        <f>HYPERLINK("http://192.227.134.252", "http://192.227.134.252")</f>
        <v>http://192.227.134.252</v>
      </c>
      <c r="B115" t="s">
        <v>5</v>
      </c>
      <c r="C115" t="str">
        <f>HYPERLINK("https://www.reddit.com/r/opendirectories/comments/jrn6du", "Movies/Series in English - Part 5")</f>
        <v>Movies/Series in English - Part 5</v>
      </c>
      <c r="D115" t="s">
        <v>368</v>
      </c>
      <c r="E115" t="s">
        <v>14</v>
      </c>
    </row>
    <row r="116" spans="1:5" x14ac:dyDescent="0.2">
      <c r="A116" t="str">
        <f>HYPERLINK("http://71.201.189.41:8800", "http://71.201.189.41:8800")</f>
        <v>http://71.201.189.41:8800</v>
      </c>
      <c r="B116" t="s">
        <v>5</v>
      </c>
      <c r="C116" t="str">
        <f>HYPERLINK("https://www.reddit.com/r/opendirectories/comments/jrn6du", "Movies/Series in English - Part 5")</f>
        <v>Movies/Series in English - Part 5</v>
      </c>
      <c r="D116" t="s">
        <v>368</v>
      </c>
      <c r="E116" t="s">
        <v>14</v>
      </c>
    </row>
    <row r="117" spans="1:5" x14ac:dyDescent="0.2">
      <c r="A117" t="str">
        <f>HYPERLINK("http://128.199.142.138:8888", "http://128.199.142.138:8888")</f>
        <v>http://128.199.142.138:8888</v>
      </c>
      <c r="B117" t="s">
        <v>5</v>
      </c>
      <c r="C117" t="str">
        <f>HYPERLINK("https://www.reddit.com/r/opendirectories/comments/jrmnsj", "Movies/Series in English - Part 4")</f>
        <v>Movies/Series in English - Part 4</v>
      </c>
      <c r="D117" t="s">
        <v>368</v>
      </c>
      <c r="E117" t="s">
        <v>14</v>
      </c>
    </row>
    <row r="118" spans="1:5" x14ac:dyDescent="0.2">
      <c r="A118" t="str">
        <f>HYPERLINK("http://118.69.205.208:8000", "http://118.69.205.208:8000")</f>
        <v>http://118.69.205.208:8000</v>
      </c>
      <c r="B118" t="s">
        <v>5</v>
      </c>
      <c r="C118" t="str">
        <f>HYPERLINK("https://www.reddit.com/r/opendirectories/comments/jrmnsj", "Movies/Series in English - Part 4")</f>
        <v>Movies/Series in English - Part 4</v>
      </c>
      <c r="D118" t="s">
        <v>368</v>
      </c>
      <c r="E118" t="s">
        <v>14</v>
      </c>
    </row>
    <row r="119" spans="1:5" x14ac:dyDescent="0.2">
      <c r="A119" t="str">
        <f>HYPERLINK("http://138.201.197.112", "http://138.201.197.112")</f>
        <v>http://138.201.197.112</v>
      </c>
      <c r="B119" t="s">
        <v>5</v>
      </c>
      <c r="C119" t="str">
        <f>HYPERLINK("https://www.reddit.com/r/opendirectories/comments/jrmnsj", "Movies/Series in English - Part 4")</f>
        <v>Movies/Series in English - Part 4</v>
      </c>
      <c r="D119" t="s">
        <v>368</v>
      </c>
      <c r="E119" t="s">
        <v>14</v>
      </c>
    </row>
    <row r="120" spans="1:5" x14ac:dyDescent="0.2">
      <c r="A120" t="str">
        <f>HYPERLINK("http://173.82.94.132:81", "http://173.82.94.132:81")</f>
        <v>http://173.82.94.132:81</v>
      </c>
      <c r="B120" t="s">
        <v>5</v>
      </c>
      <c r="C120" t="str">
        <f>HYPERLINK("https://www.reddit.com/r/opendirectories/comments/jrmnsj", "Movies/Series in English - Part 4")</f>
        <v>Movies/Series in English - Part 4</v>
      </c>
      <c r="D120" t="s">
        <v>368</v>
      </c>
      <c r="E120" t="s">
        <v>14</v>
      </c>
    </row>
    <row r="121" spans="1:5" x14ac:dyDescent="0.2">
      <c r="A121" t="str">
        <f>HYPERLINK("http://173.82.106.129:8090", "http://173.82.106.129:8090")</f>
        <v>http://173.82.106.129:8090</v>
      </c>
      <c r="B121" t="s">
        <v>5</v>
      </c>
      <c r="C121" t="str">
        <f>HYPERLINK("https://www.reddit.com/r/opendirectories/comments/jrmnsj", "Movies/Series in English - Part 4")</f>
        <v>Movies/Series in English - Part 4</v>
      </c>
      <c r="D121" t="s">
        <v>368</v>
      </c>
      <c r="E121" t="s">
        <v>14</v>
      </c>
    </row>
    <row r="122" spans="1:5" x14ac:dyDescent="0.2">
      <c r="A122" t="str">
        <f>HYPERLINK("http://62.220.128.57", "http://62.220.128.57")</f>
        <v>http://62.220.128.57</v>
      </c>
      <c r="B122" t="s">
        <v>5</v>
      </c>
      <c r="C122" t="str">
        <f>HYPERLINK("https://www.reddit.com/r/opendirectories/comments/jrkuya", "Movies/Series in English - Part 1")</f>
        <v>Movies/Series in English - Part 1</v>
      </c>
      <c r="D122" t="s">
        <v>368</v>
      </c>
      <c r="E122" t="s">
        <v>14</v>
      </c>
    </row>
    <row r="123" spans="1:5" x14ac:dyDescent="0.2">
      <c r="A123" t="str">
        <f>HYPERLINK("http://62.210.132.17", "http://62.210.132.17")</f>
        <v>http://62.210.132.17</v>
      </c>
      <c r="B123" t="s">
        <v>5</v>
      </c>
      <c r="C123" t="str">
        <f>HYPERLINK("https://www.reddit.com/r/opendirectories/comments/jrkv4r", "Movies/Series in English - Part 3")</f>
        <v>Movies/Series in English - Part 3</v>
      </c>
      <c r="D123" t="s">
        <v>368</v>
      </c>
      <c r="E123" t="s">
        <v>14</v>
      </c>
    </row>
    <row r="124" spans="1:5" x14ac:dyDescent="0.2">
      <c r="A124" t="str">
        <f>HYPERLINK("https://51.15.61.197", "https://51.15.61.197")</f>
        <v>https://51.15.61.197</v>
      </c>
      <c r="B124" t="s">
        <v>5</v>
      </c>
      <c r="C124" t="str">
        <f>HYPERLINK("https://www.reddit.com/r/opendirectories/comments/jrkv4r", "Movies/Series in English - Part 3")</f>
        <v>Movies/Series in English - Part 3</v>
      </c>
      <c r="D124" t="s">
        <v>368</v>
      </c>
      <c r="E124" t="s">
        <v>14</v>
      </c>
    </row>
    <row r="125" spans="1:5" x14ac:dyDescent="0.2">
      <c r="A125" t="str">
        <f>HYPERLINK("http://media.sbc.sc/ftproot", "http://media.sbc.sc/ftproot")</f>
        <v>http://media.sbc.sc/ftproot</v>
      </c>
      <c r="B125" t="s">
        <v>5</v>
      </c>
      <c r="C125" t="str">
        <f>HYPERLINK("https://www.reddit.com/r/opendirectories/comments/j92nk5", "upload directory for a TV station in Seychelles")</f>
        <v>upload directory for a TV station in Seychelles</v>
      </c>
      <c r="D125" t="s">
        <v>447</v>
      </c>
    </row>
    <row r="126" spans="1:5" x14ac:dyDescent="0.2">
      <c r="A126" t="str">
        <f>HYPERLINK("http://j4uvod.club", "http://j4uvod.club")</f>
        <v>http://j4uvod.club</v>
      </c>
      <c r="B126" t="s">
        <v>5</v>
      </c>
      <c r="C126" t="str">
        <f>HYPERLINK("https://www.reddit.com/r/opendirectories/comments/j5njim", "open directory with movies and series. Badly organised.")</f>
        <v>open directory with movies and series. Badly organised.</v>
      </c>
      <c r="D126" t="s">
        <v>399</v>
      </c>
    </row>
    <row r="127" spans="1:5" x14ac:dyDescent="0.2">
      <c r="A127" t="str">
        <f>HYPERLINK("http://118.69.205.207:8000", "http://118.69.205.207:8000")</f>
        <v>http://118.69.205.207:8000</v>
      </c>
      <c r="B127" t="s">
        <v>5</v>
      </c>
      <c r="C127" t="str">
        <f>HYPERLINK("https://www.reddit.com/r/opendirectories/comments/irvb69", "A bunch of movies, series ... never published here ! Part 4")</f>
        <v>A bunch of movies, series ... never published here ! Part 4</v>
      </c>
      <c r="D127" t="s">
        <v>302</v>
      </c>
    </row>
    <row r="128" spans="1:5" x14ac:dyDescent="0.2">
      <c r="A128" t="str">
        <f>HYPERLINK("http://176.31.115.63", "http://176.31.115.63")</f>
        <v>http://176.31.115.63</v>
      </c>
      <c r="B128" t="s">
        <v>5</v>
      </c>
      <c r="C128" t="str">
        <f>HYPERLINK("https://www.reddit.com/r/opendirectories/comments/irnav2", "A bunch of movies, series ... never published here ! Part 2")</f>
        <v>A bunch of movies, series ... never published here ! Part 2</v>
      </c>
      <c r="D128" t="s">
        <v>302</v>
      </c>
    </row>
    <row r="129" spans="1:5" x14ac:dyDescent="0.2">
      <c r="A129" t="str">
        <f>HYPERLINK("http://rtellason.com/manuals", "http://rtellason.com/manuals")</f>
        <v>http://rtellason.com/manuals</v>
      </c>
      <c r="B129" t="s">
        <v>5</v>
      </c>
      <c r="C129" t="str">
        <f>HYPERLINK("https://www.reddit.com/r/opendirectories/comments/idmfd1", "Computer Hardware, Printers, Schematics Manuals and More")</f>
        <v>Computer Hardware, Printers, Schematics Manuals and More</v>
      </c>
      <c r="D129" t="s">
        <v>72</v>
      </c>
    </row>
    <row r="130" spans="1:5" x14ac:dyDescent="0.2">
      <c r="A130" t="str">
        <f>HYPERLINK("http://51.77.66.14", "http://51.77.66.14")</f>
        <v>http://51.77.66.14</v>
      </c>
      <c r="B130" t="s">
        <v>5</v>
      </c>
      <c r="C130" t="str">
        <f>HYPERLINK("https://www.reddit.com/r/opendirectories/comments/ha8g3t", "Spanish Movies and Series")</f>
        <v>Spanish Movies and Series</v>
      </c>
      <c r="D130" t="s">
        <v>400</v>
      </c>
      <c r="E130" t="s">
        <v>377</v>
      </c>
    </row>
    <row r="131" spans="1:5" x14ac:dyDescent="0.2">
      <c r="A131" t="str">
        <f>HYPERLINK("https://archives.eyrie.org", "https://archives.eyrie.org")</f>
        <v>https://archives.eyrie.org</v>
      </c>
      <c r="B131" t="s">
        <v>5</v>
      </c>
      <c r="C131" t="str">
        <f>HYPERLINK("https://www.reddit.com/r/opendirectories/comments/dzq53d", "Evangelion Fanfic (Not NSFW but weird as fuck, if you know evangelion)")</f>
        <v>Evangelion Fanfic (Not NSFW but weird as fuck, if you know evangelion)</v>
      </c>
      <c r="D131" t="s">
        <v>105</v>
      </c>
    </row>
    <row r="132" spans="1:5" x14ac:dyDescent="0.2">
      <c r="A132" t="str">
        <f>HYPERLINK("https://178.32.222.201", "https://178.32.222.201")</f>
        <v>https://178.32.222.201</v>
      </c>
      <c r="B132" t="s">
        <v>5</v>
      </c>
      <c r="C132" t="str">
        <f>HYPERLINK("https://www.reddit.com/r/opendirectories/comments/i9l11t", "Japanese cartoons")</f>
        <v>Japanese cartoons</v>
      </c>
      <c r="D132" t="s">
        <v>448</v>
      </c>
      <c r="E132" t="s">
        <v>63</v>
      </c>
    </row>
    <row r="133" spans="1:5" x14ac:dyDescent="0.2">
      <c r="A133" t="str">
        <f>HYPERLINK("http://37.187.20.239", "http://37.187.20.239")</f>
        <v>http://37.187.20.239</v>
      </c>
      <c r="B133" t="s">
        <v>5</v>
      </c>
      <c r="C133" t="str">
        <f>HYPERLINK("https://www.reddit.com/r/opendirectories/comments/i2oc2e", "the SIMP and sons (Latin Spanish) T1 to T21")</f>
        <v>the SIMP and sons (Latin Spanish) T1 to T21</v>
      </c>
      <c r="D133" t="s">
        <v>449</v>
      </c>
      <c r="E133" t="s">
        <v>377</v>
      </c>
    </row>
    <row r="134" spans="1:5" x14ac:dyDescent="0.2">
      <c r="A134" t="str">
        <f>HYPERLINK("http://www.ai.sri.com/movies", "http://www.ai.sri.com/movies")</f>
        <v>http://www.ai.sri.com/movies</v>
      </c>
      <c r="B134" t="s">
        <v>5</v>
      </c>
      <c r="C134" t="str">
        <f>HYPERLINK("https://www.reddit.com/r/opendirectories/comments/hyxk1m", "Movies, Series, Anime, Music and something about robotics")</f>
        <v>Movies, Series, Anime, Music and something about robotics</v>
      </c>
      <c r="D134" t="s">
        <v>402</v>
      </c>
    </row>
    <row r="135" spans="1:5" x14ac:dyDescent="0.2">
      <c r="A135" t="str">
        <f>HYPERLINK("http://37.187.117.55/pinkie", "http://37.187.117.55/pinkie")</f>
        <v>http://37.187.117.55/pinkie</v>
      </c>
      <c r="B135" t="s">
        <v>5</v>
      </c>
      <c r="C135" t="str">
        <f>HYPERLINK("https://www.reddit.com/r/opendirectories/comments/g0gzsx", "French MLP content")</f>
        <v>French MLP content</v>
      </c>
      <c r="D135" t="s">
        <v>450</v>
      </c>
      <c r="E135" t="s">
        <v>51</v>
      </c>
    </row>
    <row r="136" spans="1:5" x14ac:dyDescent="0.2">
      <c r="A136" t="str">
        <f>HYPERLINK("https://doc.downloadha.com", "https://doc.downloadha.com")</f>
        <v>https://doc.downloadha.com</v>
      </c>
      <c r="B136" t="s">
        <v>5</v>
      </c>
      <c r="C136" t="str">
        <f>HYPERLINK("https://www.reddit.com/r/opendirectories/comments/d5e6ka", "Lots of Documentaries, BBC, Nature, MvGroup etc.")</f>
        <v>Lots of Documentaries, BBC, Nature, MvGroup etc.</v>
      </c>
      <c r="D136" t="s">
        <v>407</v>
      </c>
    </row>
    <row r="137" spans="1:5" x14ac:dyDescent="0.2">
      <c r="A137" t="str">
        <f>HYPERLINK("http://www.shmygelskyy.name", "http://www.shmygelskyy.name")</f>
        <v>http://www.shmygelskyy.name</v>
      </c>
      <c r="B137" t="s">
        <v>5</v>
      </c>
      <c r="C137" t="str">
        <f>HYPERLINK("https://www.reddit.com/r/opendirectories/comments/fpwn1t", "Index of Movies,mostly bluray.")</f>
        <v>Index of Movies,mostly bluray.</v>
      </c>
      <c r="D137" t="s">
        <v>318</v>
      </c>
      <c r="E137" t="s">
        <v>14</v>
      </c>
    </row>
    <row r="138" spans="1:5" x14ac:dyDescent="0.2">
      <c r="A138" t="str">
        <f>HYPERLINK("http://54.39.100.236", "http://54.39.100.236")</f>
        <v>http://54.39.100.236</v>
      </c>
      <c r="B138" t="s">
        <v>5</v>
      </c>
      <c r="C138" t="str">
        <f>HYPERLINK("https://www.reddit.com/r/opendirectories/comments/fjmgp0", "Whole bunch of movies and stuff")</f>
        <v>Whole bunch of movies and stuff</v>
      </c>
      <c r="D138" t="s">
        <v>319</v>
      </c>
      <c r="E138" t="s">
        <v>14</v>
      </c>
    </row>
    <row r="139" spans="1:5" x14ac:dyDescent="0.2">
      <c r="A139" t="str">
        <f>HYPERLINK("https://www.mmnt.net/db/0/1/76.23.52.7/AiDisk_a1/Media%20Server/TV%20Series", "https://www.mmnt.net/db/0/1/76.23.52.7/AiDisk_a1/Media%20Server/TV%20Series")</f>
        <v>https://www.mmnt.net/db/0/1/76.23.52.7/AiDisk_a1/Media%20Server/TV%20Series</v>
      </c>
      <c r="B139" t="s">
        <v>5</v>
      </c>
      <c r="C139" t="str">
        <f>HYPERLINK("https://www.reddit.com/r/opendirectories/comments/en7m2x", "Movies and series")</f>
        <v>Movies and series</v>
      </c>
      <c r="D139" t="s">
        <v>411</v>
      </c>
    </row>
    <row r="140" spans="1:5" x14ac:dyDescent="0.2">
      <c r="A140" t="str">
        <f>HYPERLINK("https://www.azaforum.com/download", "https://www.azaforum.com/download")</f>
        <v>https://www.azaforum.com/download</v>
      </c>
      <c r="B140" t="s">
        <v>5</v>
      </c>
      <c r="C140" t="str">
        <f>HYPERLINK("https://www.reddit.com/r/opendirectories/comments/e1c5rv", "Seems to be an index of somethingto do with serial programming")</f>
        <v>Seems to be an index of somethingto do with serial programming</v>
      </c>
      <c r="D140" t="s">
        <v>104</v>
      </c>
    </row>
    <row r="141" spans="1:5" x14ac:dyDescent="0.2">
      <c r="A141" t="str">
        <f>HYPERLINK("http://files.diadu.net/Other%20Files", "http://files.diadu.net/Other%20Files")</f>
        <v>http://files.diadu.net/Other%20Files</v>
      </c>
      <c r="B141" t="s">
        <v>5</v>
      </c>
      <c r="C141" t="str">
        <f>HYPERLINK("https://www.reddit.com/r/opendirectories/comments/dwl0rv", "MISC Open Directories [Games, Roms, OSTs, more games, anime]")</f>
        <v>MISC Open Directories [Games, Roms, OSTs, more games, anime]</v>
      </c>
      <c r="D141" t="s">
        <v>325</v>
      </c>
      <c r="E141" t="s">
        <v>51</v>
      </c>
    </row>
    <row r="142" spans="1:5" x14ac:dyDescent="0.2">
      <c r="A142" t="str">
        <f>HYPERLINK("http://xbox.joshw.info", "http://xbox.joshw.info")</f>
        <v>http://xbox.joshw.info</v>
      </c>
      <c r="B142" t="s">
        <v>5</v>
      </c>
      <c r="C142" t="str">
        <f>HYPERLINK("https://www.reddit.com/r/opendirectories/comments/dwl0rv", "MISC Open Directories [Games, Roms, OSTs, more games, anime]")</f>
        <v>MISC Open Directories [Games, Roms, OSTs, more games, anime]</v>
      </c>
      <c r="D142" t="s">
        <v>325</v>
      </c>
      <c r="E142" t="s">
        <v>51</v>
      </c>
    </row>
    <row r="143" spans="1:5" x14ac:dyDescent="0.2">
      <c r="A143" t="str">
        <f>HYPERLINK("https://ftp.sunet.se", "https://ftp.sunet.se")</f>
        <v>https://ftp.sunet.se</v>
      </c>
      <c r="B143" t="s">
        <v>5</v>
      </c>
      <c r="C143" t="str">
        <f>HYPERLINK("https://www.reddit.com/r/opendirectories/comments/ak1xka", "Swedish Umea University ACC Club Directory. Has files going back to 94, games, classic anime, books, etc.")</f>
        <v>Swedish Umea University ACC Club Directory. Has files going back to 94, games, classic anime, books, etc.</v>
      </c>
      <c r="D143" t="s">
        <v>414</v>
      </c>
    </row>
    <row r="144" spans="1:5" x14ac:dyDescent="0.2">
      <c r="A144" t="str">
        <f>HYPERLINK("http://tenshi.spb.ru/anime-ost", "http://tenshi.spb.ru/anime-ost")</f>
        <v>http://tenshi.spb.ru/anime-ost</v>
      </c>
      <c r="B144" t="s">
        <v>5</v>
      </c>
      <c r="C144" t="str">
        <f>HYPERLINK("https://www.reddit.com/r/opendirectories/comments/8lqstv", "Anime OST (320 kbps MP3 / 800 Series / Good Speed)")</f>
        <v>Anime OST (320 kbps MP3 / 800 Series / Good Speed)</v>
      </c>
      <c r="D144" t="s">
        <v>415</v>
      </c>
    </row>
    <row r="145" spans="1:5" x14ac:dyDescent="0.2">
      <c r="A145" t="str">
        <f>HYPERLINK("http://files.modacity.net/software", "http://files.modacity.net/software")</f>
        <v>http://files.modacity.net/software</v>
      </c>
      <c r="B145" t="s">
        <v>5</v>
      </c>
      <c r="C145" t="str">
        <f>HYPERLINK("https://www.reddit.com/r/opendirectories/comments/csvxf4", "Old versions of 3ds Max [From 3ds Max 5 to 3ds Max 9]")</f>
        <v>Old versions of 3ds Max [From 3ds Max 5 to 3ds Max 9]</v>
      </c>
      <c r="D145" t="s">
        <v>451</v>
      </c>
    </row>
    <row r="146" spans="1:5" x14ac:dyDescent="0.2">
      <c r="A146" t="str">
        <f>HYPERLINK("http://62-210-103-107.rev.poneytelecom.eu/torrent", "http://62-210-103-107.rev.poneytelecom.eu/torrent")</f>
        <v>http://62-210-103-107.rev.poneytelecom.eu/torrent</v>
      </c>
      <c r="B146" t="s">
        <v>5</v>
      </c>
      <c r="C146" t="str">
        <f>HYPERLINK("https://www.reddit.com/r/opendirectories/comments/bx2qjh", "[FR/EN] Movies / TV Shows / Softwares / Music / Misc")</f>
        <v>[FR/EN] Movies / TV Shows / Softwares / Music / Misc</v>
      </c>
      <c r="D146" t="s">
        <v>273</v>
      </c>
      <c r="E146" t="s">
        <v>51</v>
      </c>
    </row>
    <row r="147" spans="1:5" x14ac:dyDescent="0.2">
      <c r="A147" t="str">
        <f>HYPERLINK("https://dl1.win2farsi.com", "https://dl1.win2farsi.com")</f>
        <v>https://dl1.win2farsi.com</v>
      </c>
      <c r="B147" t="s">
        <v>5</v>
      </c>
      <c r="C147" t="str">
        <f>HYPERLINK("https://www.reddit.com/r/opendirectories/comments/bpibex", "⚠️🎥🎬🎯🎰🎁🧲🧺💩(🚬+🚽=👌)🧻")</f>
        <v>⚠️🎥🎬🎯🎰🎁🧲🧺💩(🚬+🚽=👌)🧻</v>
      </c>
      <c r="D147" t="s">
        <v>452</v>
      </c>
    </row>
    <row r="148" spans="1:5" x14ac:dyDescent="0.2">
      <c r="A148" t="str">
        <f>HYPERLINK("http://verificacion.surweb.es/video", "http://verificacion.surweb.es/video")</f>
        <v>http://verificacion.surweb.es/video</v>
      </c>
      <c r="B148" t="s">
        <v>5</v>
      </c>
      <c r="C148" t="str">
        <f>HYPERLINK("https://www.reddit.com/r/opendirectories/comments/b7syuv", "Collection of Movies organized by Genres + Series")</f>
        <v>Collection of Movies organized by Genres + Series</v>
      </c>
      <c r="D148" t="s">
        <v>331</v>
      </c>
    </row>
    <row r="149" spans="1:5" x14ac:dyDescent="0.2">
      <c r="A149" t="str">
        <f>HYPERLINK("http://baseshare.com/uploads/songs", "http://baseshare.com/uploads/songs")</f>
        <v>http://baseshare.com/uploads/songs</v>
      </c>
      <c r="B149" t="s">
        <v>5</v>
      </c>
      <c r="C149" t="str">
        <f>HYPERLINK("https://www.reddit.com/r/opendirectories/comments/b1g2uj", "dig if bored -- literally unsorted,mostly, mp3 'n such")</f>
        <v>dig if bored -- literally unsorted,mostly, mp3 'n such</v>
      </c>
      <c r="D149" t="s">
        <v>332</v>
      </c>
    </row>
    <row r="150" spans="1:5" x14ac:dyDescent="0.2">
      <c r="A150" t="str">
        <f>HYPERLINK("http://aircredits.net/thi/mixtapes", "http://aircredits.net/thi/mixtapes")</f>
        <v>http://aircredits.net/thi/mixtapes</v>
      </c>
      <c r="B150" t="s">
        <v>5</v>
      </c>
      <c r="C150" t="str">
        <f>HYPERLINK("https://www.reddit.com/r/opendirectories/comments/8ykemt", "The Hood Internet - Mashup Mixtapes")</f>
        <v>The Hood Internet - Mashup Mixtapes</v>
      </c>
      <c r="D150" t="s">
        <v>165</v>
      </c>
    </row>
    <row r="151" spans="1:5" x14ac:dyDescent="0.2">
      <c r="A151" t="str">
        <f>HYPERLINK("http://donkey.bobot.org", "http://donkey.bobot.org")</f>
        <v>http://donkey.bobot.org</v>
      </c>
      <c r="B151" t="s">
        <v>5</v>
      </c>
      <c r="C151" t="str">
        <f>HYPERLINK("https://www.reddit.com/r/opendirectories/comments/az794z", "episodes of tv series, and a few movies.")</f>
        <v>episodes of tv series, and a few movies.</v>
      </c>
      <c r="D151" t="s">
        <v>419</v>
      </c>
    </row>
    <row r="152" spans="1:5" x14ac:dyDescent="0.2">
      <c r="A152" t="str">
        <f>HYPERLINK("https://b.goeswhere.com", "https://b.goeswhere.com")</f>
        <v>https://b.goeswhere.com</v>
      </c>
      <c r="B152" t="s">
        <v>5</v>
      </c>
      <c r="C152" t="str">
        <f t="shared" ref="C152:C178" si="3">HYPERLINK("https://www.reddit.com/r/opendirectories/comments/ape43b", "list of RE-POST's")</f>
        <v>list of RE-POST's</v>
      </c>
      <c r="D152" t="s">
        <v>396</v>
      </c>
    </row>
    <row r="153" spans="1:5" x14ac:dyDescent="0.2">
      <c r="A153" t="str">
        <f>HYPERLINK("https://blackstarkodi.com", "https://blackstarkodi.com")</f>
        <v>https://blackstarkodi.com</v>
      </c>
      <c r="B153" t="s">
        <v>5</v>
      </c>
      <c r="C153" t="str">
        <f t="shared" si="3"/>
        <v>list of RE-POST's</v>
      </c>
      <c r="D153" t="s">
        <v>396</v>
      </c>
    </row>
    <row r="154" spans="1:5" x14ac:dyDescent="0.2">
      <c r="A154" t="str">
        <f>HYPERLINK("https://cache.csrulez.ru", "https://cache.csrulez.ru")</f>
        <v>https://cache.csrulez.ru</v>
      </c>
      <c r="B154" t="s">
        <v>5</v>
      </c>
      <c r="C154" t="str">
        <f t="shared" si="3"/>
        <v>list of RE-POST's</v>
      </c>
      <c r="D154" t="s">
        <v>396</v>
      </c>
    </row>
    <row r="155" spans="1:5" x14ac:dyDescent="0.2">
      <c r="A155" t="str">
        <f>HYPERLINK("https://ch0c.com", "https://ch0c.com")</f>
        <v>https://ch0c.com</v>
      </c>
      <c r="B155" t="s">
        <v>5</v>
      </c>
      <c r="C155" t="str">
        <f t="shared" si="3"/>
        <v>list of RE-POST's</v>
      </c>
      <c r="D155" t="s">
        <v>396</v>
      </c>
    </row>
    <row r="156" spans="1:5" x14ac:dyDescent="0.2">
      <c r="A156" t="str">
        <f>HYPERLINK("https://cyberside.net.ee", "https://cyberside.net.ee")</f>
        <v>https://cyberside.net.ee</v>
      </c>
      <c r="B156" t="s">
        <v>5</v>
      </c>
      <c r="C156" t="str">
        <f t="shared" si="3"/>
        <v>list of RE-POST's</v>
      </c>
      <c r="D156" t="s">
        <v>396</v>
      </c>
    </row>
    <row r="157" spans="1:5" x14ac:dyDescent="0.2">
      <c r="A157" t="str">
        <f>HYPERLINK("https://dl.par30dl.com", "https://dl.par30dl.com")</f>
        <v>https://dl.par30dl.com</v>
      </c>
      <c r="B157" t="s">
        <v>5</v>
      </c>
      <c r="C157" t="str">
        <f t="shared" si="3"/>
        <v>list of RE-POST's</v>
      </c>
      <c r="D157" t="s">
        <v>396</v>
      </c>
    </row>
    <row r="158" spans="1:5" x14ac:dyDescent="0.2">
      <c r="A158" t="str">
        <f>HYPERLINK("https://download.nextcloud.com", "https://download.nextcloud.com")</f>
        <v>https://download.nextcloud.com</v>
      </c>
      <c r="B158" t="s">
        <v>5</v>
      </c>
      <c r="C158" t="str">
        <f t="shared" si="3"/>
        <v>list of RE-POST's</v>
      </c>
      <c r="D158" t="s">
        <v>396</v>
      </c>
    </row>
    <row r="159" spans="1:5" x14ac:dyDescent="0.2">
      <c r="A159" t="str">
        <f>HYPERLINK("https://download.videolan.org", "https://download.videolan.org")</f>
        <v>https://download.videolan.org</v>
      </c>
      <c r="B159" t="s">
        <v>5</v>
      </c>
      <c r="C159" t="str">
        <f t="shared" si="3"/>
        <v>list of RE-POST's</v>
      </c>
      <c r="D159" t="s">
        <v>396</v>
      </c>
    </row>
    <row r="160" spans="1:5" x14ac:dyDescent="0.2">
      <c r="A160" t="str">
        <f>HYPERLINK("https://ftp.belnet.be", "https://ftp.belnet.be")</f>
        <v>https://ftp.belnet.be</v>
      </c>
      <c r="B160" t="s">
        <v>5</v>
      </c>
      <c r="C160" t="str">
        <f t="shared" si="3"/>
        <v>list of RE-POST's</v>
      </c>
      <c r="D160" t="s">
        <v>396</v>
      </c>
    </row>
    <row r="161" spans="1:4" x14ac:dyDescent="0.2">
      <c r="A161" t="str">
        <f>HYPERLINK("https://ftp.dlink.ru", "https://ftp.dlink.ru")</f>
        <v>https://ftp.dlink.ru</v>
      </c>
      <c r="B161" t="s">
        <v>5</v>
      </c>
      <c r="C161" t="str">
        <f t="shared" si="3"/>
        <v>list of RE-POST's</v>
      </c>
      <c r="D161" t="s">
        <v>396</v>
      </c>
    </row>
    <row r="162" spans="1:4" x14ac:dyDescent="0.2">
      <c r="A162" t="str">
        <f>HYPERLINK("https://ftp.funet.fi", "https://ftp.funet.fi")</f>
        <v>https://ftp.funet.fi</v>
      </c>
      <c r="B162" t="s">
        <v>5</v>
      </c>
      <c r="C162" t="str">
        <f t="shared" si="3"/>
        <v>list of RE-POST's</v>
      </c>
      <c r="D162" t="s">
        <v>396</v>
      </c>
    </row>
    <row r="163" spans="1:4" x14ac:dyDescent="0.2">
      <c r="A163" t="str">
        <f>HYPERLINK("https://ftp.gnome.org", "https://ftp.gnome.org")</f>
        <v>https://ftp.gnome.org</v>
      </c>
      <c r="B163" t="s">
        <v>5</v>
      </c>
      <c r="C163" t="str">
        <f t="shared" si="3"/>
        <v>list of RE-POST's</v>
      </c>
      <c r="D163" t="s">
        <v>396</v>
      </c>
    </row>
    <row r="164" spans="1:4" x14ac:dyDescent="0.2">
      <c r="A164" t="str">
        <f>HYPERLINK("https://galactic.to", "https://galactic.to")</f>
        <v>https://galactic.to</v>
      </c>
      <c r="B164" t="s">
        <v>5</v>
      </c>
      <c r="C164" t="str">
        <f t="shared" si="3"/>
        <v>list of RE-POST's</v>
      </c>
      <c r="D164" t="s">
        <v>396</v>
      </c>
    </row>
    <row r="165" spans="1:4" x14ac:dyDescent="0.2">
      <c r="A165" t="str">
        <f>HYPERLINK("https://gmsh.info", "https://gmsh.info")</f>
        <v>https://gmsh.info</v>
      </c>
      <c r="B165" t="s">
        <v>5</v>
      </c>
      <c r="C165" t="str">
        <f t="shared" si="3"/>
        <v>list of RE-POST's</v>
      </c>
      <c r="D165" t="s">
        <v>396</v>
      </c>
    </row>
    <row r="166" spans="1:4" x14ac:dyDescent="0.2">
      <c r="A166" t="str">
        <f>HYPERLINK("https://img.cs.montana.edu", "https://img.cs.montana.edu")</f>
        <v>https://img.cs.montana.edu</v>
      </c>
      <c r="B166" t="s">
        <v>5</v>
      </c>
      <c r="C166" t="str">
        <f t="shared" si="3"/>
        <v>list of RE-POST's</v>
      </c>
      <c r="D166" t="s">
        <v>396</v>
      </c>
    </row>
    <row r="167" spans="1:4" x14ac:dyDescent="0.2">
      <c r="A167" t="str">
        <f>HYPERLINK("https://incoherency.co.uk", "https://incoherency.co.uk")</f>
        <v>https://incoherency.co.uk</v>
      </c>
      <c r="B167" t="s">
        <v>5</v>
      </c>
      <c r="C167" t="str">
        <f t="shared" si="3"/>
        <v>list of RE-POST's</v>
      </c>
      <c r="D167" t="s">
        <v>396</v>
      </c>
    </row>
    <row r="168" spans="1:4" x14ac:dyDescent="0.2">
      <c r="A168" t="str">
        <f>HYPERLINK("https://legacymediastreams.com", "https://legacymediastreams.com")</f>
        <v>https://legacymediastreams.com</v>
      </c>
      <c r="B168" t="s">
        <v>5</v>
      </c>
      <c r="C168" t="str">
        <f t="shared" si="3"/>
        <v>list of RE-POST's</v>
      </c>
      <c r="D168" t="s">
        <v>396</v>
      </c>
    </row>
    <row r="169" spans="1:4" x14ac:dyDescent="0.2">
      <c r="A169" t="str">
        <f>HYPERLINK("https://media.xiph.org", "https://media.xiph.org")</f>
        <v>https://media.xiph.org</v>
      </c>
      <c r="B169" t="s">
        <v>5</v>
      </c>
      <c r="C169" t="str">
        <f t="shared" si="3"/>
        <v>list of RE-POST's</v>
      </c>
      <c r="D169" t="s">
        <v>396</v>
      </c>
    </row>
    <row r="170" spans="1:4" x14ac:dyDescent="0.2">
      <c r="A170" t="str">
        <f>HYPERLINK("https://modland.com", "https://modland.com")</f>
        <v>https://modland.com</v>
      </c>
      <c r="B170" t="s">
        <v>5</v>
      </c>
      <c r="C170" t="str">
        <f t="shared" si="3"/>
        <v>list of RE-POST's</v>
      </c>
      <c r="D170" t="s">
        <v>396</v>
      </c>
    </row>
    <row r="171" spans="1:4" x14ac:dyDescent="0.2">
      <c r="A171" t="str">
        <f>HYPERLINK("https://pics.yougave.me", "https://pics.yougave.me")</f>
        <v>https://pics.yougave.me</v>
      </c>
      <c r="B171" t="s">
        <v>5</v>
      </c>
      <c r="C171" t="str">
        <f t="shared" si="3"/>
        <v>list of RE-POST's</v>
      </c>
      <c r="D171" t="s">
        <v>396</v>
      </c>
    </row>
    <row r="172" spans="1:4" x14ac:dyDescent="0.2">
      <c r="A172" t="str">
        <f>HYPERLINK("https://repo.steampowered.com", "https://repo.steampowered.com")</f>
        <v>https://repo.steampowered.com</v>
      </c>
      <c r="B172" t="s">
        <v>5</v>
      </c>
      <c r="C172" t="str">
        <f t="shared" si="3"/>
        <v>list of RE-POST's</v>
      </c>
      <c r="D172" t="s">
        <v>396</v>
      </c>
    </row>
    <row r="173" spans="1:4" x14ac:dyDescent="0.2">
      <c r="A173" t="str">
        <f>HYPERLINK("https://rootjunkysdl.com", "https://rootjunkysdl.com")</f>
        <v>https://rootjunkysdl.com</v>
      </c>
      <c r="B173" t="s">
        <v>5</v>
      </c>
      <c r="C173" t="str">
        <f t="shared" si="3"/>
        <v>list of RE-POST's</v>
      </c>
      <c r="D173" t="s">
        <v>396</v>
      </c>
    </row>
    <row r="174" spans="1:4" x14ac:dyDescent="0.2">
      <c r="A174" t="str">
        <f>HYPERLINK("https://www.bookofthedead.ws", "https://www.bookofthedead.ws")</f>
        <v>https://www.bookofthedead.ws</v>
      </c>
      <c r="B174" t="s">
        <v>5</v>
      </c>
      <c r="C174" t="str">
        <f t="shared" si="3"/>
        <v>list of RE-POST's</v>
      </c>
      <c r="D174" t="s">
        <v>396</v>
      </c>
    </row>
    <row r="175" spans="1:4" x14ac:dyDescent="0.2">
      <c r="A175" t="str">
        <f>HYPERLINK("https://www.danielpeart.net", "https://www.danielpeart.net")</f>
        <v>https://www.danielpeart.net</v>
      </c>
      <c r="B175" t="s">
        <v>5</v>
      </c>
      <c r="C175" t="str">
        <f t="shared" si="3"/>
        <v>list of RE-POST's</v>
      </c>
      <c r="D175" t="s">
        <v>396</v>
      </c>
    </row>
    <row r="176" spans="1:4" x14ac:dyDescent="0.2">
      <c r="A176" t="str">
        <f>HYPERLINK("https://www.gamers.org", "https://www.gamers.org")</f>
        <v>https://www.gamers.org</v>
      </c>
      <c r="B176" t="s">
        <v>5</v>
      </c>
      <c r="C176" t="str">
        <f t="shared" si="3"/>
        <v>list of RE-POST's</v>
      </c>
      <c r="D176" t="s">
        <v>396</v>
      </c>
    </row>
    <row r="177" spans="1:4" x14ac:dyDescent="0.2">
      <c r="A177" t="str">
        <f>HYPERLINK("https://www.vivagamers.com", "https://www.vivagamers.com")</f>
        <v>https://www.vivagamers.com</v>
      </c>
      <c r="B177" t="s">
        <v>5</v>
      </c>
      <c r="C177" t="str">
        <f t="shared" si="3"/>
        <v>list of RE-POST's</v>
      </c>
      <c r="D177" t="s">
        <v>396</v>
      </c>
    </row>
    <row r="178" spans="1:4" x14ac:dyDescent="0.2">
      <c r="A178" t="str">
        <f>HYPERLINK("https://www.xbmcmods.com", "https://www.xbmcmods.com")</f>
        <v>https://www.xbmcmods.com</v>
      </c>
      <c r="B178" t="s">
        <v>5</v>
      </c>
      <c r="C178" t="str">
        <f t="shared" si="3"/>
        <v>list of RE-POST's</v>
      </c>
      <c r="D178" t="s">
        <v>396</v>
      </c>
    </row>
    <row r="179" spans="1:4" x14ac:dyDescent="0.2">
      <c r="A179" t="str">
        <f>HYPERLINK("http://t94xr.download", "http://t94xr.download")</f>
        <v>http://t94xr.download</v>
      </c>
      <c r="B179" t="s">
        <v>5</v>
      </c>
      <c r="C179" t="str">
        <f>HYPERLINK("https://www.reddit.com/r/opendirectories/comments/akw1u2", "Movies &amp;amp; Series [~2MB/s]")</f>
        <v>Movies &amp;amp; Series [~2MB/s]</v>
      </c>
      <c r="D179" t="s">
        <v>334</v>
      </c>
    </row>
    <row r="180" spans="1:4" x14ac:dyDescent="0.2">
      <c r="A180" t="str">
        <f>HYPERLINK("http://yourmom.likesbuttse.xxx/stuff", "http://yourmom.likesbuttse.xxx/stuff")</f>
        <v>http://yourmom.likesbuttse.xxx/stuff</v>
      </c>
      <c r="B180" t="s">
        <v>5</v>
      </c>
      <c r="C180" t="str">
        <f>HYPERLINK("https://www.reddit.com/r/opendirectories/comments/akigdt", "{NSFW} Can't decide a Title [~10MB/s]")</f>
        <v>{NSFW} Can't decide a Title [~10MB/s]</v>
      </c>
      <c r="D180" t="s">
        <v>453</v>
      </c>
    </row>
    <row r="181" spans="1:4" x14ac:dyDescent="0.2">
      <c r="A181" t="str">
        <f>HYPERLINK("https://csclub.uwaterloo.ca/~rfburger", "https://csclub.uwaterloo.ca/~rfburger")</f>
        <v>https://csclub.uwaterloo.ca/~rfburger</v>
      </c>
      <c r="B181" t="s">
        <v>5</v>
      </c>
      <c r="D181" t="s">
        <v>454</v>
      </c>
    </row>
    <row r="182" spans="1:4" x14ac:dyDescent="0.2">
      <c r="A182" t="str">
        <f>HYPERLINK("https://www.andyslife.org/misc", "https://www.andyslife.org/misc")</f>
        <v>https://www.andyslife.org/misc</v>
      </c>
      <c r="B182" t="s">
        <v>5</v>
      </c>
      <c r="C182" t="str">
        <f>HYPERLINK("https://www.reddit.com/r/opendirectories/comments/aj8nx3", "TV Theme songs")</f>
        <v>TV Theme songs</v>
      </c>
      <c r="D182" t="s">
        <v>454</v>
      </c>
    </row>
    <row r="183" spans="1:4" x14ac:dyDescent="0.2">
      <c r="A183" t="str">
        <f>HYPERLINK("http://sawiptv.com", "http://sawiptv.com")</f>
        <v>http://sawiptv.com</v>
      </c>
      <c r="B183" t="s">
        <v>5</v>
      </c>
      <c r="C183" t="str">
        <f>HYPERLINK("https://www.reddit.com/r/opendirectories/comments/9xzmep", "Random collection of Movies / TV Shows")</f>
        <v>Random collection of Movies / TV Shows</v>
      </c>
      <c r="D183" t="s">
        <v>421</v>
      </c>
    </row>
    <row r="184" spans="1:4" x14ac:dyDescent="0.2">
      <c r="A184" t="str">
        <f>HYPERLINK("https://datapacket.com", "https://datapacket.com")</f>
        <v>https://datapacket.com</v>
      </c>
      <c r="B184" t="s">
        <v>5</v>
      </c>
      <c r="C184" t="str">
        <f>HYPERLINK("https://www.reddit.com/r/opendirectories/comments/92fnzh", "Revamped Fusker System - View Open Directory Images @ The-Eye")</f>
        <v>Revamped Fusker System - View Open Directory Images @ The-Eye</v>
      </c>
      <c r="D184" t="s">
        <v>161</v>
      </c>
    </row>
    <row r="185" spans="1:4" x14ac:dyDescent="0.2">
      <c r="A185" t="str">
        <f>HYPERLINK("http://iusethis.luo.ma", "http://iusethis.luo.ma")</f>
        <v>http://iusethis.luo.ma</v>
      </c>
      <c r="B185" t="s">
        <v>5</v>
      </c>
      <c r="C185" t="str">
        <f>HYPERLINK("https://www.reddit.com/r/opendirectories/comments/9i61a3", "Tons of software")</f>
        <v>Tons of software</v>
      </c>
      <c r="D185" t="s">
        <v>37</v>
      </c>
    </row>
    <row r="186" spans="1:4" x14ac:dyDescent="0.2">
      <c r="A186" t="str">
        <f>HYPERLINK("http://217.162.253.72", "http://217.162.253.72")</f>
        <v>http://217.162.253.72</v>
      </c>
      <c r="B186" t="s">
        <v>5</v>
      </c>
      <c r="C186" t="str">
        <f>HYPERLINK("https://www.reddit.com/r/opendirectories/comments/94pk3f", "Misc IP's with Movies/Tv Series.")</f>
        <v>Misc IP's with Movies/Tv Series.</v>
      </c>
      <c r="D186" t="s">
        <v>422</v>
      </c>
    </row>
    <row r="187" spans="1:4" x14ac:dyDescent="0.2">
      <c r="A187" t="str">
        <f>HYPERLINK("http://firepig.tartarus.feralhosting.com", "http://firepig.tartarus.feralhosting.com")</f>
        <v>http://firepig.tartarus.feralhosting.com</v>
      </c>
      <c r="B187" t="s">
        <v>5</v>
      </c>
      <c r="C187" t="str">
        <f>HYPERLINK("https://www.reddit.com/r/opendirectories/comments/8ufnbh", "Video Game Roms - Movies - TV")</f>
        <v>Video Game Roms - Movies - TV</v>
      </c>
      <c r="D187" t="s">
        <v>166</v>
      </c>
    </row>
    <row r="188" spans="1:4" x14ac:dyDescent="0.2">
      <c r="A188" t="str">
        <f>HYPERLINK("http://doc.downloadha.com", "http://doc.downloadha.com")</f>
        <v>http://doc.downloadha.com</v>
      </c>
      <c r="B188" t="s">
        <v>5</v>
      </c>
      <c r="C188" t="str">
        <f>HYPERLINK("https://www.reddit.com/r/opendirectories/comments/5t61ve", "Movies, TV Shows, Games")</f>
        <v>Movies, TV Shows, Games</v>
      </c>
      <c r="D188" t="s">
        <v>424</v>
      </c>
    </row>
    <row r="189" spans="1:4" x14ac:dyDescent="0.2">
      <c r="A189" t="str">
        <f>HYPERLINK("http://nekit.sytes.net/files", "http://nekit.sytes.net/files")</f>
        <v>http://nekit.sytes.net/files</v>
      </c>
      <c r="B189" t="s">
        <v>5</v>
      </c>
      <c r="C189" t="str">
        <f>HYPERLINK("https://www.reddit.com/r/opendirectories/comments/7no1f6", "[TV][1080p][MP4] Steven Universe 2013 Seasons 1-4")</f>
        <v>[TV][1080p][MP4] Steven Universe 2013 Seasons 1-4</v>
      </c>
      <c r="D189" t="s">
        <v>348</v>
      </c>
    </row>
    <row r="190" spans="1:4" x14ac:dyDescent="0.2">
      <c r="A190" t="str">
        <f>HYPERLINK("http://sp.lolfile.com", "http://sp.lolfile.com")</f>
        <v>http://sp.lolfile.com</v>
      </c>
      <c r="B190" t="s">
        <v>5</v>
      </c>
      <c r="C190" t="str">
        <f>HYPERLINK("https://www.reddit.com/r/opendirectories/comments/7lcytc", "South Park series with HunDub")</f>
        <v>South Park series with HunDub</v>
      </c>
      <c r="D190" t="s">
        <v>455</v>
      </c>
    </row>
    <row r="191" spans="1:4" x14ac:dyDescent="0.2">
      <c r="A191" t="str">
        <f>HYPERLINK("http://dls.firone-land.com", "http://dls.firone-land.com")</f>
        <v>http://dls.firone-land.com</v>
      </c>
      <c r="B191" t="s">
        <v>5</v>
      </c>
      <c r="C191" t="str">
        <f>HYPERLINK("https://www.reddit.com/r/opendirectories/comments/684a5d", "Movies, Games, TV Shows, Random crap")</f>
        <v>Movies, Games, TV Shows, Random crap</v>
      </c>
      <c r="D191" t="s">
        <v>427</v>
      </c>
    </row>
    <row r="192" spans="1:4" x14ac:dyDescent="0.2">
      <c r="A192" t="str">
        <f>HYPERLINK("http://home.konkere.ru", "http://home.konkere.ru")</f>
        <v>http://home.konkere.ru</v>
      </c>
      <c r="B192" t="s">
        <v>5</v>
      </c>
      <c r="C192" t="str">
        <f>HYPERLINK("https://www.reddit.com/r/opendirectories/comments/40ulz9", "Manga &amp;amp; Comics Directory")</f>
        <v>Manga &amp;amp; Comics Directory</v>
      </c>
      <c r="D192" t="s">
        <v>229</v>
      </c>
    </row>
    <row r="193" spans="1:4" x14ac:dyDescent="0.2">
      <c r="A193" t="str">
        <f>HYPERLINK("https://gegenees.feralhosting.com/prisoner627", "https://gegenees.feralhosting.com/prisoner627")</f>
        <v>https://gegenees.feralhosting.com/prisoner627</v>
      </c>
      <c r="B193" t="s">
        <v>5</v>
      </c>
      <c r="C193" t="str">
        <f>HYPERLINK("https://www.reddit.com/r/opendirectories/comments/55zk8u", "Movies and Series from a Seedbox #2")</f>
        <v>Movies and Series from a Seedbox #2</v>
      </c>
      <c r="D193" t="s">
        <v>429</v>
      </c>
    </row>
    <row r="194" spans="1:4" x14ac:dyDescent="0.2">
      <c r="A194" t="str">
        <f>HYPERLINK("http://tvoneoperations.com/promo", "http://tvoneoperations.com/promo")</f>
        <v>http://tvoneoperations.com/promo</v>
      </c>
      <c r="B194" t="s">
        <v>5</v>
      </c>
      <c r="C194" t="str">
        <f>HYPERLINK("https://www.reddit.com/r/opendirectories/comments/4rz0ni", "Commercials, radio spots, and misc promotional material from a TV network")</f>
        <v>Commercials, radio spots, and misc promotional material from a TV network</v>
      </c>
      <c r="D194" t="s">
        <v>456</v>
      </c>
    </row>
    <row r="195" spans="1:4" x14ac:dyDescent="0.2">
      <c r="A195" t="str">
        <f>HYPERLINK("http://www.miketyndall.com", "http://www.miketyndall.com")</f>
        <v>http://www.miketyndall.com</v>
      </c>
      <c r="B195" t="s">
        <v>5</v>
      </c>
      <c r="C195" t="str">
        <f>HYPERLINK("https://www.reddit.com/r/opendirectories/comments/4buyso", "LittleKuriboh Directory (Makes Abridged Series for Yu-Gi-Oh, Naruto, Etc)")</f>
        <v>LittleKuriboh Directory (Makes Abridged Series for Yu-Gi-Oh, Naruto, Etc)</v>
      </c>
      <c r="D195" t="s">
        <v>457</v>
      </c>
    </row>
    <row r="196" spans="1:4" x14ac:dyDescent="0.2">
      <c r="A196" t="str">
        <f>HYPERLINK("http://donhodges.com/mp3", "http://donhodges.com/mp3")</f>
        <v>http://donhodges.com/mp3</v>
      </c>
      <c r="B196" t="s">
        <v>5</v>
      </c>
      <c r="C196" t="str">
        <f>HYPERLINK("https://www.reddit.com/r/opendirectories/comments/10fgvr", "Don Hodges Radio Clips: Political Soundbytes (GWB/Rumsfeld from TV/Radio), Alan Watts Lectures, and a weird soundbyte of some one calling in about a UFO")</f>
        <v>Don Hodges Radio Clips: Political Soundbytes (GWB/Rumsfeld from TV/Radio), Alan Watts Lectures, and a weird soundbyte of some one calling in about a UFO</v>
      </c>
      <c r="D196" t="s">
        <v>458</v>
      </c>
    </row>
  </sheetData>
  <pageMargins left="0.75" right="0.75" top="1" bottom="1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15"/>
  <sheetViews>
    <sheetView zoomScaleNormal="100" workbookViewId="0"/>
  </sheetViews>
  <sheetFormatPr baseColWidth="10" defaultColWidth="8.83203125" defaultRowHeight="15" x14ac:dyDescent="0.2"/>
  <cols>
    <col min="1" max="1" width="50" customWidth="1"/>
    <col min="3" max="3" width="80" customWidth="1"/>
    <col min="4" max="4" width="11" customWidth="1"/>
    <col min="5" max="5" width="80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tr">
        <f>HYPERLINK("http://ingar.intranifty.net", "http://ingar.intranifty.net")</f>
        <v>http://ingar.intranifty.net</v>
      </c>
      <c r="B2" t="s">
        <v>5</v>
      </c>
      <c r="C2" t="str">
        <f t="shared" ref="C2:C10" si="0">HYPERLINK("https://www.reddit.com/r/opendirectories/comments/pp71gr", "2021-09-16 Daily post")</f>
        <v>2021-09-16 Daily post</v>
      </c>
      <c r="D2" t="s">
        <v>7</v>
      </c>
    </row>
    <row r="3" spans="1:5" x14ac:dyDescent="0.2">
      <c r="A3" t="str">
        <f>HYPERLINK("http://www.huzheng.org", "http://www.huzheng.org")</f>
        <v>http://www.huzheng.org</v>
      </c>
      <c r="B3" t="s">
        <v>5</v>
      </c>
      <c r="C3" t="str">
        <f t="shared" si="0"/>
        <v>2021-09-16 Daily post</v>
      </c>
      <c r="D3" t="s">
        <v>7</v>
      </c>
    </row>
    <row r="4" spans="1:5" x14ac:dyDescent="0.2">
      <c r="A4" t="str">
        <f>HYPERLINK("http://markburgess.org/music", "http://markburgess.org/music")</f>
        <v>http://markburgess.org/music</v>
      </c>
      <c r="B4" t="s">
        <v>5</v>
      </c>
      <c r="C4" t="str">
        <f t="shared" si="0"/>
        <v>2021-09-16 Daily post</v>
      </c>
      <c r="D4" t="s">
        <v>7</v>
      </c>
    </row>
    <row r="5" spans="1:5" x14ac:dyDescent="0.2">
      <c r="A5" t="str">
        <f>HYPERLINK("https://www.backtracking-music.de/uranus", "https://www.backtracking-music.de/uranus")</f>
        <v>https://www.backtracking-music.de/uranus</v>
      </c>
      <c r="B5" t="s">
        <v>5</v>
      </c>
      <c r="C5" t="str">
        <f t="shared" si="0"/>
        <v>2021-09-16 Daily post</v>
      </c>
      <c r="D5" t="s">
        <v>7</v>
      </c>
    </row>
    <row r="6" spans="1:5" x14ac:dyDescent="0.2">
      <c r="A6" t="str">
        <f>HYPERLINK("https://musicinsideout.wwno.org/audio", "https://musicinsideout.wwno.org/audio")</f>
        <v>https://musicinsideout.wwno.org/audio</v>
      </c>
      <c r="B6" t="s">
        <v>5</v>
      </c>
      <c r="C6" t="str">
        <f t="shared" si="0"/>
        <v>2021-09-16 Daily post</v>
      </c>
      <c r="D6" t="s">
        <v>7</v>
      </c>
    </row>
    <row r="7" spans="1:5" x14ac:dyDescent="0.2">
      <c r="A7" t="str">
        <f>HYPERLINK("https://music.maxton.xyz/tracks", "https://music.maxton.xyz/tracks")</f>
        <v>https://music.maxton.xyz/tracks</v>
      </c>
      <c r="B7" t="s">
        <v>5</v>
      </c>
      <c r="C7" t="str">
        <f t="shared" si="0"/>
        <v>2021-09-16 Daily post</v>
      </c>
      <c r="D7" t="s">
        <v>7</v>
      </c>
    </row>
    <row r="8" spans="1:5" x14ac:dyDescent="0.2">
      <c r="A8" t="str">
        <f>HYPERLINK("http://scipp.ucsc.edu/~profumo/misc", "http://scipp.ucsc.edu/~profumo/misc")</f>
        <v>http://scipp.ucsc.edu/~profumo/misc</v>
      </c>
      <c r="B8" t="s">
        <v>5</v>
      </c>
      <c r="C8" t="str">
        <f t="shared" si="0"/>
        <v>2021-09-16 Daily post</v>
      </c>
      <c r="D8" t="s">
        <v>7</v>
      </c>
    </row>
    <row r="9" spans="1:5" x14ac:dyDescent="0.2">
      <c r="A9" t="str">
        <f>HYPERLINK("https://people.duke.edu/~ajk17", "https://people.duke.edu/~ajk17")</f>
        <v>https://people.duke.edu/~ajk17</v>
      </c>
      <c r="B9" t="s">
        <v>5</v>
      </c>
      <c r="C9" t="str">
        <f t="shared" si="0"/>
        <v>2021-09-16 Daily post</v>
      </c>
      <c r="D9" t="s">
        <v>7</v>
      </c>
    </row>
    <row r="10" spans="1:5" x14ac:dyDescent="0.2">
      <c r="A10" t="str">
        <f>HYPERLINK("http://socialdance.stanford.edu/music", "http://socialdance.stanford.edu/music")</f>
        <v>http://socialdance.stanford.edu/music</v>
      </c>
      <c r="B10" t="s">
        <v>5</v>
      </c>
      <c r="C10" t="str">
        <f t="shared" si="0"/>
        <v>2021-09-16 Daily post</v>
      </c>
      <c r="D10" t="s">
        <v>7</v>
      </c>
    </row>
    <row r="11" spans="1:5" x14ac:dyDescent="0.2">
      <c r="A11" t="str">
        <f>HYPERLINK("http://miya.nipah.moe:81/public", "http://miya.nipah.moe:81/public")</f>
        <v>http://miya.nipah.moe:81/public</v>
      </c>
      <c r="B11" t="s">
        <v>5</v>
      </c>
      <c r="C11" t="str">
        <f>HYPERLINK("https://www.reddit.com/r/opendirectories/comments/pnwdql", "Osu! Maps, Manga, Anime, Music and more. Small variety of JP stuff.")</f>
        <v>Osu! Maps, Manga, Anime, Music and more. Small variety of JP stuff.</v>
      </c>
      <c r="D11" t="s">
        <v>362</v>
      </c>
      <c r="E11" t="s">
        <v>63</v>
      </c>
    </row>
    <row r="12" spans="1:5" x14ac:dyDescent="0.2">
      <c r="A12" t="str">
        <f>HYPERLINK("https://www.espros.com", "https://www.espros.com")</f>
        <v>https://www.espros.com</v>
      </c>
      <c r="B12" t="s">
        <v>5</v>
      </c>
      <c r="C12" t="str">
        <f t="shared" ref="C12:C19" si="1">HYPERLINK("https://www.reddit.com/r/opendirectories/comments/pmqh90", "2021-09-12 Daily post")</f>
        <v>2021-09-12 Daily post</v>
      </c>
      <c r="D12" t="s">
        <v>459</v>
      </c>
    </row>
    <row r="13" spans="1:5" x14ac:dyDescent="0.2">
      <c r="A13" t="str">
        <f>HYPERLINK("https://www.konrow.com/download", "https://www.konrow.com/download")</f>
        <v>https://www.konrow.com/download</v>
      </c>
      <c r="B13" t="s">
        <v>5</v>
      </c>
      <c r="C13" t="str">
        <f t="shared" si="1"/>
        <v>2021-09-12 Daily post</v>
      </c>
      <c r="D13" t="s">
        <v>459</v>
      </c>
    </row>
    <row r="14" spans="1:5" x14ac:dyDescent="0.2">
      <c r="A14" t="str">
        <f>HYPERLINK("https://www.dukelearntoprogram.com/downloads", "https://www.dukelearntoprogram.com/downloads")</f>
        <v>https://www.dukelearntoprogram.com/downloads</v>
      </c>
      <c r="B14" t="s">
        <v>5</v>
      </c>
      <c r="C14" t="str">
        <f t="shared" si="1"/>
        <v>2021-09-12 Daily post</v>
      </c>
      <c r="D14" t="s">
        <v>459</v>
      </c>
    </row>
    <row r="15" spans="1:5" x14ac:dyDescent="0.2">
      <c r="A15" t="str">
        <f>HYPERLINK("https://apc.u-paris.fr/Downloads", "https://apc.u-paris.fr/Downloads")</f>
        <v>https://apc.u-paris.fr/Downloads</v>
      </c>
      <c r="B15" t="s">
        <v>5</v>
      </c>
      <c r="C15" t="str">
        <f t="shared" si="1"/>
        <v>2021-09-12 Daily post</v>
      </c>
      <c r="D15" t="s">
        <v>459</v>
      </c>
    </row>
    <row r="16" spans="1:5" x14ac:dyDescent="0.2">
      <c r="A16" t="str">
        <f>HYPERLINK("https://www.3dhistech.com/downloads", "https://www.3dhistech.com/downloads")</f>
        <v>https://www.3dhistech.com/downloads</v>
      </c>
      <c r="B16" t="s">
        <v>5</v>
      </c>
      <c r="C16" t="str">
        <f t="shared" si="1"/>
        <v>2021-09-12 Daily post</v>
      </c>
      <c r="D16" t="s">
        <v>459</v>
      </c>
    </row>
    <row r="17" spans="1:5" x14ac:dyDescent="0.2">
      <c r="A17" t="str">
        <f>HYPERLINK("http://www.tfcumc.org/music", "http://www.tfcumc.org/music")</f>
        <v>http://www.tfcumc.org/music</v>
      </c>
      <c r="B17" t="s">
        <v>5</v>
      </c>
      <c r="C17" t="str">
        <f t="shared" si="1"/>
        <v>2021-09-12 Daily post</v>
      </c>
      <c r="D17" t="s">
        <v>459</v>
      </c>
    </row>
    <row r="18" spans="1:5" x14ac:dyDescent="0.2">
      <c r="A18" t="str">
        <f>HYPERLINK("https://dalemuus.home.xs4all.nl", "https://dalemuus.home.xs4all.nl")</f>
        <v>https://dalemuus.home.xs4all.nl</v>
      </c>
      <c r="B18" t="s">
        <v>5</v>
      </c>
      <c r="C18" t="str">
        <f t="shared" si="1"/>
        <v>2021-09-12 Daily post</v>
      </c>
      <c r="D18" t="s">
        <v>459</v>
      </c>
    </row>
    <row r="19" spans="1:5" x14ac:dyDescent="0.2">
      <c r="A19" t="str">
        <f>HYPERLINK("http://www.andrelouis.com/media", "http://www.andrelouis.com/media")</f>
        <v>http://www.andrelouis.com/media</v>
      </c>
      <c r="B19" t="s">
        <v>5</v>
      </c>
      <c r="C19" t="str">
        <f t="shared" si="1"/>
        <v>2021-09-12 Daily post</v>
      </c>
      <c r="D19" t="s">
        <v>459</v>
      </c>
    </row>
    <row r="20" spans="1:5" x14ac:dyDescent="0.2">
      <c r="A20" t="str">
        <f>HYPERLINK("https://www.averagehunter.com/mp3", "https://www.averagehunter.com/mp3")</f>
        <v>https://www.averagehunter.com/mp3</v>
      </c>
      <c r="B20" t="s">
        <v>5</v>
      </c>
      <c r="C20" t="str">
        <f>HYPERLINK("https://www.reddit.com/r/opendirectories/comments/pmniwj", "Animal sounds (mix of .mp3 and .wav)")</f>
        <v>Animal sounds (mix of .mp3 and .wav)</v>
      </c>
      <c r="D20" t="s">
        <v>459</v>
      </c>
    </row>
    <row r="21" spans="1:5" x14ac:dyDescent="0.2">
      <c r="A21" t="str">
        <f>HYPERLINK("http://wateryaml.cn", "http://wateryaml.cn")</f>
        <v>http://wateryaml.cn</v>
      </c>
      <c r="B21" t="s">
        <v>5</v>
      </c>
      <c r="C21" t="str">
        <f t="shared" ref="C21:C27" si="2">HYPERLINK("https://www.reddit.com/r/opendirectories/comments/plkcmr", "2021-09-10 Daily post")</f>
        <v>2021-09-10 Daily post</v>
      </c>
      <c r="D21" t="s">
        <v>261</v>
      </c>
      <c r="E21" t="s">
        <v>61</v>
      </c>
    </row>
    <row r="22" spans="1:5" x14ac:dyDescent="0.2">
      <c r="A22" t="str">
        <f>HYPERLINK("https://rohandrape.net/rd", "https://rohandrape.net/rd")</f>
        <v>https://rohandrape.net/rd</v>
      </c>
      <c r="B22" t="s">
        <v>5</v>
      </c>
      <c r="C22" t="str">
        <f t="shared" si="2"/>
        <v>2021-09-10 Daily post</v>
      </c>
      <c r="D22" t="s">
        <v>261</v>
      </c>
      <c r="E22" t="s">
        <v>61</v>
      </c>
    </row>
    <row r="23" spans="1:5" x14ac:dyDescent="0.2">
      <c r="A23" t="str">
        <f>HYPERLINK("https://www.cs.cmu.edu/~lblum/flac/Handouts_pdf", "https://www.cs.cmu.edu/~lblum/flac/Handouts_pdf")</f>
        <v>https://www.cs.cmu.edu/~lblum/flac/Handouts_pdf</v>
      </c>
      <c r="B23" t="s">
        <v>5</v>
      </c>
      <c r="C23" t="str">
        <f t="shared" si="2"/>
        <v>2021-09-10 Daily post</v>
      </c>
      <c r="D23" t="s">
        <v>261</v>
      </c>
      <c r="E23" t="s">
        <v>61</v>
      </c>
    </row>
    <row r="24" spans="1:5" x14ac:dyDescent="0.2">
      <c r="A24" t="str">
        <f>HYPERLINK("http://www.lindberg.no/hires", "http://www.lindberg.no/hires")</f>
        <v>http://www.lindberg.no/hires</v>
      </c>
      <c r="B24" t="s">
        <v>5</v>
      </c>
      <c r="C24" t="str">
        <f t="shared" si="2"/>
        <v>2021-09-10 Daily post</v>
      </c>
      <c r="D24" t="s">
        <v>261</v>
      </c>
      <c r="E24" t="s">
        <v>61</v>
      </c>
    </row>
    <row r="25" spans="1:5" x14ac:dyDescent="0.2">
      <c r="A25" t="str">
        <f>HYPERLINK("https://samples.ffmpeg.org", "https://samples.ffmpeg.org")</f>
        <v>https://samples.ffmpeg.org</v>
      </c>
      <c r="B25" t="s">
        <v>5</v>
      </c>
      <c r="C25" t="str">
        <f t="shared" si="2"/>
        <v>2021-09-10 Daily post</v>
      </c>
      <c r="D25" t="s">
        <v>261</v>
      </c>
      <c r="E25" t="s">
        <v>61</v>
      </c>
    </row>
    <row r="26" spans="1:5" x14ac:dyDescent="0.2">
      <c r="A26" t="str">
        <f>HYPERLINK("https://files.valhallagameplays.info", "https://files.valhallagameplays.info")</f>
        <v>https://files.valhallagameplays.info</v>
      </c>
      <c r="B26" t="s">
        <v>5</v>
      </c>
      <c r="C26" t="str">
        <f t="shared" si="2"/>
        <v>2021-09-10 Daily post</v>
      </c>
      <c r="D26" t="s">
        <v>261</v>
      </c>
      <c r="E26" t="s">
        <v>61</v>
      </c>
    </row>
    <row r="27" spans="1:5" x14ac:dyDescent="0.2">
      <c r="A27" t="str">
        <f>HYPERLINK("https://www.nlnetlabs.nl/downloads", "https://www.nlnetlabs.nl/downloads")</f>
        <v>https://www.nlnetlabs.nl/downloads</v>
      </c>
      <c r="B27" t="s">
        <v>5</v>
      </c>
      <c r="C27" t="str">
        <f t="shared" si="2"/>
        <v>2021-09-10 Daily post</v>
      </c>
      <c r="D27" t="s">
        <v>261</v>
      </c>
      <c r="E27" t="s">
        <v>61</v>
      </c>
    </row>
    <row r="28" spans="1:5" x14ac:dyDescent="0.2">
      <c r="A28" t="str">
        <f>HYPERLINK("http://www.quinstarradio.net", "http://www.quinstarradio.net")</f>
        <v>http://www.quinstarradio.net</v>
      </c>
      <c r="B28" t="s">
        <v>5</v>
      </c>
      <c r="C28" t="str">
        <f>HYPERLINK("https://www.reddit.com/r/opendirectories/comments/ph5h0d", "Audio from a radio station devoted to cattle farming")</f>
        <v>Audio from a radio station devoted to cattle farming</v>
      </c>
      <c r="D28" t="s">
        <v>363</v>
      </c>
    </row>
    <row r="29" spans="1:5" x14ac:dyDescent="0.2">
      <c r="A29" t="str">
        <f>HYPERLINK("https://cryptostream.tech", "https://cryptostream.tech")</f>
        <v>https://cryptostream.tech</v>
      </c>
      <c r="B29" t="s">
        <v>5</v>
      </c>
      <c r="C29" t="str">
        <f>HYPERLINK("https://www.reddit.com/r/opendirectories/comments/pgvc8s", "A complete collection of MLK speeches")</f>
        <v>A complete collection of MLK speeches</v>
      </c>
      <c r="D29" t="s">
        <v>363</v>
      </c>
    </row>
    <row r="30" spans="1:5" x14ac:dyDescent="0.2">
      <c r="A30" t="str">
        <f>HYPERLINK("https://hakase.lilprincess.xyz/storage", "https://hakase.lilprincess.xyz/storage")</f>
        <v>https://hakase.lilprincess.xyz/storage</v>
      </c>
      <c r="B30" t="s">
        <v>5</v>
      </c>
      <c r="C30" t="str">
        <f>HYPERLINK("https://www.reddit.com/r/opendirectories/comments/owjba3", "[NSFW] Music Videos, Music, TV Shows, Android Apps, OnlyFans Rips")</f>
        <v>[NSFW] Music Videos, Music, TV Shows, Android Apps, OnlyFans Rips</v>
      </c>
      <c r="D30" t="s">
        <v>18</v>
      </c>
    </row>
    <row r="31" spans="1:5" x14ac:dyDescent="0.2">
      <c r="A31" t="str">
        <f>HYPERLINK("https://www.qsl.net/w/w7lk/misc%20pdf%20files", "https://www.qsl.net/w/w7lk/misc%20pdf%20files")</f>
        <v>https://www.qsl.net/w/w7lk/misc%20pdf%20files</v>
      </c>
      <c r="B31" t="s">
        <v>5</v>
      </c>
      <c r="C31" t="str">
        <f>HYPERLINK("https://www.reddit.com/r/opendirectories/comments/oti3tx", "HAM Radio &amp;amp; MISC Ebooks")</f>
        <v>HAM Radio &amp;amp; MISC Ebooks</v>
      </c>
      <c r="D31" t="s">
        <v>21</v>
      </c>
    </row>
    <row r="32" spans="1:5" x14ac:dyDescent="0.2">
      <c r="A32" t="str">
        <f>HYPERLINK("http://onj3.andrelouis.com/phonetones", "http://onj3.andrelouis.com/phonetones")</f>
        <v>http://onj3.andrelouis.com/phonetones</v>
      </c>
      <c r="B32" t="s">
        <v>5</v>
      </c>
      <c r="C32" t="str">
        <f>HYPERLINK("https://www.reddit.com/r/opendirectories/comments/ojetpq", "a lot of ringtones (organized by brand)")</f>
        <v>a lot of ringtones (organized by brand)</v>
      </c>
      <c r="D32" t="s">
        <v>264</v>
      </c>
    </row>
    <row r="33" spans="1:5" x14ac:dyDescent="0.2">
      <c r="A33" t="str">
        <f>HYPERLINK("http://master255.org", "http://master255.org")</f>
        <v>http://master255.org</v>
      </c>
      <c r="B33" t="s">
        <v>5</v>
      </c>
      <c r="C33" t="str">
        <f>HYPERLINK("https://www.reddit.com/r/opendirectories/comments/o7uvcv", "Collection of video games")</f>
        <v>Collection of video games</v>
      </c>
      <c r="D33" t="s">
        <v>267</v>
      </c>
    </row>
    <row r="34" spans="1:5" x14ac:dyDescent="0.2">
      <c r="A34" t="str">
        <f>HYPERLINK("https://neurophysics.ucsd.edu/Manuals", "https://neurophysics.ucsd.edu/Manuals")</f>
        <v>https://neurophysics.ucsd.edu/Manuals</v>
      </c>
      <c r="B34" t="s">
        <v>5</v>
      </c>
      <c r="C34" t="str">
        <f>HYPERLINK("https://www.reddit.com/r/opendirectories/comments/o5a6vw", "Lab Equipment, Computing, and Radio Manuals")</f>
        <v>Lab Equipment, Computing, and Radio Manuals</v>
      </c>
      <c r="D34" t="s">
        <v>268</v>
      </c>
    </row>
    <row r="35" spans="1:5" x14ac:dyDescent="0.2">
      <c r="A35" t="str">
        <f>HYPERLINK("http://195.93.160.105", "http://195.93.160.105")</f>
        <v>http://195.93.160.105</v>
      </c>
      <c r="B35" t="s">
        <v>5</v>
      </c>
      <c r="C35" t="str">
        <f>HYPERLINK("https://www.reddit.com/r/opendirectories/comments/innmzu", "Russian dexes are great [FLAC]")</f>
        <v>Russian dexes are great [FLAC]</v>
      </c>
      <c r="D35" t="s">
        <v>374</v>
      </c>
      <c r="E35" t="s">
        <v>8</v>
      </c>
    </row>
    <row r="36" spans="1:5" x14ac:dyDescent="0.2">
      <c r="A36" t="str">
        <f>HYPERLINK("http://14.7.238.154", "http://14.7.238.154")</f>
        <v>http://14.7.238.154</v>
      </c>
      <c r="B36" t="s">
        <v>5</v>
      </c>
      <c r="C36" t="str">
        <f>HYPERLINK("https://www.reddit.com/r/opendirectories/comments/nv0oso", "Index of billboard top 100 year end hits 1979")</f>
        <v>Index of billboard top 100 year end hits 1979</v>
      </c>
      <c r="D36" t="s">
        <v>366</v>
      </c>
    </row>
    <row r="37" spans="1:5" x14ac:dyDescent="0.2">
      <c r="A37" t="str">
        <f>HYPERLINK("http://51.183.57.164:7777", "http://51.183.57.164:7777")</f>
        <v>http://51.183.57.164:7777</v>
      </c>
      <c r="B37" t="s">
        <v>5</v>
      </c>
      <c r="C37" t="str">
        <f t="shared" ref="C37:C51" si="3">HYPERLINK("https://www.reddit.com/r/opendirectories/comments/nt7fea", "Music for the masses !")</f>
        <v>Music for the masses !</v>
      </c>
      <c r="D37" t="s">
        <v>460</v>
      </c>
      <c r="E37" t="s">
        <v>51</v>
      </c>
    </row>
    <row r="38" spans="1:5" x14ac:dyDescent="0.2">
      <c r="A38" t="str">
        <f>HYPERLINK("http://requinsynergy.com/requin", "http://requinsynergy.com/requin")</f>
        <v>http://requinsynergy.com/requin</v>
      </c>
      <c r="B38" t="s">
        <v>5</v>
      </c>
      <c r="C38" t="str">
        <f t="shared" si="3"/>
        <v>Music for the masses !</v>
      </c>
      <c r="D38" t="s">
        <v>460</v>
      </c>
      <c r="E38" t="s">
        <v>51</v>
      </c>
    </row>
    <row r="39" spans="1:5" x14ac:dyDescent="0.2">
      <c r="A39" t="str">
        <f>HYPERLINK("http://163.172.211.38", "http://163.172.211.38")</f>
        <v>http://163.172.211.38</v>
      </c>
      <c r="B39" t="s">
        <v>5</v>
      </c>
      <c r="C39" t="str">
        <f t="shared" si="3"/>
        <v>Music for the masses !</v>
      </c>
      <c r="D39" t="s">
        <v>460</v>
      </c>
      <c r="E39" t="s">
        <v>51</v>
      </c>
    </row>
    <row r="40" spans="1:5" x14ac:dyDescent="0.2">
      <c r="A40" t="str">
        <f>HYPERLINK("http://193.55.211.25", "http://193.55.211.25")</f>
        <v>http://193.55.211.25</v>
      </c>
      <c r="B40" t="s">
        <v>5</v>
      </c>
      <c r="C40" t="str">
        <f t="shared" si="3"/>
        <v>Music for the masses !</v>
      </c>
      <c r="D40" t="s">
        <v>460</v>
      </c>
      <c r="E40" t="s">
        <v>51</v>
      </c>
    </row>
    <row r="41" spans="1:5" x14ac:dyDescent="0.2">
      <c r="A41" t="str">
        <f>HYPERLINK("http://64.94.212.177", "http://64.94.212.177")</f>
        <v>http://64.94.212.177</v>
      </c>
      <c r="B41" t="s">
        <v>5</v>
      </c>
      <c r="C41" t="str">
        <f t="shared" si="3"/>
        <v>Music for the masses !</v>
      </c>
      <c r="D41" t="s">
        <v>460</v>
      </c>
      <c r="E41" t="s">
        <v>51</v>
      </c>
    </row>
    <row r="42" spans="1:5" x14ac:dyDescent="0.2">
      <c r="A42" t="str">
        <f>HYPERLINK("http://media.kingarthur.com", "http://media.kingarthur.com")</f>
        <v>http://media.kingarthur.com</v>
      </c>
      <c r="B42" t="s">
        <v>5</v>
      </c>
      <c r="C42" t="str">
        <f t="shared" si="3"/>
        <v>Music for the masses !</v>
      </c>
      <c r="D42" t="s">
        <v>460</v>
      </c>
      <c r="E42" t="s">
        <v>51</v>
      </c>
    </row>
    <row r="43" spans="1:5" x14ac:dyDescent="0.2">
      <c r="A43" t="str">
        <f>HYPERLINK("https://212.159.121.149:85", "https://212.159.121.149:85")</f>
        <v>https://212.159.121.149:85</v>
      </c>
      <c r="B43" t="s">
        <v>5</v>
      </c>
      <c r="C43" t="str">
        <f t="shared" si="3"/>
        <v>Music for the masses !</v>
      </c>
      <c r="D43" t="s">
        <v>460</v>
      </c>
      <c r="E43" t="s">
        <v>51</v>
      </c>
    </row>
    <row r="44" spans="1:5" x14ac:dyDescent="0.2">
      <c r="A44" t="str">
        <f>HYPERLINK("http://chaosje.nl", "http://chaosje.nl")</f>
        <v>http://chaosje.nl</v>
      </c>
      <c r="B44" t="s">
        <v>5</v>
      </c>
      <c r="C44" t="str">
        <f t="shared" si="3"/>
        <v>Music for the masses !</v>
      </c>
      <c r="D44" t="s">
        <v>460</v>
      </c>
      <c r="E44" t="s">
        <v>51</v>
      </c>
    </row>
    <row r="45" spans="1:5" x14ac:dyDescent="0.2">
      <c r="A45" t="str">
        <f>HYPERLINK("http://brandonblattner.com/home/audio", "http://brandonblattner.com/home/audio")</f>
        <v>http://brandonblattner.com/home/audio</v>
      </c>
      <c r="B45" t="s">
        <v>5</v>
      </c>
      <c r="C45" t="str">
        <f t="shared" si="3"/>
        <v>Music for the masses !</v>
      </c>
      <c r="D45" t="s">
        <v>460</v>
      </c>
      <c r="E45" t="s">
        <v>51</v>
      </c>
    </row>
    <row r="46" spans="1:5" x14ac:dyDescent="0.2">
      <c r="A46" t="str">
        <f>HYPERLINK("http://www.dixiedrifter.com/music", "http://www.dixiedrifter.com/music")</f>
        <v>http://www.dixiedrifter.com/music</v>
      </c>
      <c r="B46" t="s">
        <v>5</v>
      </c>
      <c r="C46" t="str">
        <f t="shared" si="3"/>
        <v>Music for the masses !</v>
      </c>
      <c r="D46" t="s">
        <v>460</v>
      </c>
      <c r="E46" t="s">
        <v>51</v>
      </c>
    </row>
    <row r="47" spans="1:5" x14ac:dyDescent="0.2">
      <c r="A47" t="str">
        <f>HYPERLINK("http://49.51.138.143", "http://49.51.138.143")</f>
        <v>http://49.51.138.143</v>
      </c>
      <c r="B47" t="s">
        <v>5</v>
      </c>
      <c r="C47" t="str">
        <f t="shared" si="3"/>
        <v>Music for the masses !</v>
      </c>
      <c r="D47" t="s">
        <v>460</v>
      </c>
      <c r="E47" t="s">
        <v>51</v>
      </c>
    </row>
    <row r="48" spans="1:5" x14ac:dyDescent="0.2">
      <c r="A48" t="str">
        <f>HYPERLINK("http://103.212.226.231", "http://103.212.226.231")</f>
        <v>http://103.212.226.231</v>
      </c>
      <c r="B48" t="s">
        <v>5</v>
      </c>
      <c r="C48" t="str">
        <f t="shared" si="3"/>
        <v>Music for the masses !</v>
      </c>
      <c r="D48" t="s">
        <v>460</v>
      </c>
      <c r="E48" t="s">
        <v>51</v>
      </c>
    </row>
    <row r="49" spans="1:5" x14ac:dyDescent="0.2">
      <c r="A49" t="str">
        <f>HYPERLINK("http://62.171.148.182", "http://62.171.148.182")</f>
        <v>http://62.171.148.182</v>
      </c>
      <c r="B49" t="s">
        <v>5</v>
      </c>
      <c r="C49" t="str">
        <f t="shared" si="3"/>
        <v>Music for the masses !</v>
      </c>
      <c r="D49" t="s">
        <v>460</v>
      </c>
      <c r="E49" t="s">
        <v>51</v>
      </c>
    </row>
    <row r="50" spans="1:5" x14ac:dyDescent="0.2">
      <c r="A50" t="str">
        <f>HYPERLINK("http://82.64.172.247", "http://82.64.172.247")</f>
        <v>http://82.64.172.247</v>
      </c>
      <c r="B50" t="s">
        <v>5</v>
      </c>
      <c r="C50" t="str">
        <f t="shared" si="3"/>
        <v>Music for the masses !</v>
      </c>
      <c r="D50" t="s">
        <v>460</v>
      </c>
      <c r="E50" t="s">
        <v>51</v>
      </c>
    </row>
    <row r="51" spans="1:5" x14ac:dyDescent="0.2">
      <c r="A51" t="str">
        <f>HYPERLINK("https://103.212.226.231", "https://103.212.226.231")</f>
        <v>https://103.212.226.231</v>
      </c>
      <c r="B51" t="s">
        <v>5</v>
      </c>
      <c r="C51" t="str">
        <f t="shared" si="3"/>
        <v>Music for the masses !</v>
      </c>
      <c r="D51" t="s">
        <v>460</v>
      </c>
      <c r="E51" t="s">
        <v>51</v>
      </c>
    </row>
    <row r="52" spans="1:5" x14ac:dyDescent="0.2">
      <c r="A52" t="str">
        <f>HYPERLINK("https://www.qsl.net/4/4x6on", "https://www.qsl.net/4/4x6on")</f>
        <v>https://www.qsl.net/4/4x6on</v>
      </c>
      <c r="B52" t="s">
        <v>5</v>
      </c>
      <c r="C52" t="str">
        <f t="shared" ref="C52:C58" si="4">HYPERLINK("https://www.reddit.com/r/opendirectories/comments/nlw3er", "Manuals &amp;amp; Schematics")</f>
        <v>Manuals &amp;amp; Schematics</v>
      </c>
      <c r="D52" t="s">
        <v>378</v>
      </c>
    </row>
    <row r="53" spans="1:5" x14ac:dyDescent="0.2">
      <c r="A53" t="str">
        <f>HYPERLINK("https://magicplay.eu", "https://magicplay.eu")</f>
        <v>https://magicplay.eu</v>
      </c>
      <c r="B53" t="s">
        <v>5</v>
      </c>
      <c r="C53" t="str">
        <f t="shared" si="4"/>
        <v>Manuals &amp;amp; Schematics</v>
      </c>
      <c r="D53" t="s">
        <v>378</v>
      </c>
    </row>
    <row r="54" spans="1:5" x14ac:dyDescent="0.2">
      <c r="A54" t="str">
        <f>HYPERLINK("http://roadraceengineering.com/ralliart", "http://roadraceengineering.com/ralliart")</f>
        <v>http://roadraceengineering.com/ralliart</v>
      </c>
      <c r="B54" t="s">
        <v>5</v>
      </c>
      <c r="C54" t="str">
        <f t="shared" si="4"/>
        <v>Manuals &amp;amp; Schematics</v>
      </c>
      <c r="D54" t="s">
        <v>378</v>
      </c>
    </row>
    <row r="55" spans="1:5" x14ac:dyDescent="0.2">
      <c r="A55" t="str">
        <f>HYPERLINK("http://toolsmith.ws/catalogs", "http://toolsmith.ws/catalogs")</f>
        <v>http://toolsmith.ws/catalogs</v>
      </c>
      <c r="B55" t="s">
        <v>5</v>
      </c>
      <c r="C55" t="str">
        <f t="shared" si="4"/>
        <v>Manuals &amp;amp; Schematics</v>
      </c>
      <c r="D55" t="s">
        <v>378</v>
      </c>
    </row>
    <row r="56" spans="1:5" x14ac:dyDescent="0.2">
      <c r="A56" t="str">
        <f>HYPERLINK("http://starin.info/Product%20Info", "http://starin.info/Product%20Info")</f>
        <v>http://starin.info/Product%20Info</v>
      </c>
      <c r="B56" t="s">
        <v>5</v>
      </c>
      <c r="C56" t="str">
        <f t="shared" si="4"/>
        <v>Manuals &amp;amp; Schematics</v>
      </c>
      <c r="D56" t="s">
        <v>378</v>
      </c>
    </row>
    <row r="57" spans="1:5" x14ac:dyDescent="0.2">
      <c r="A57" t="str">
        <f>HYPERLINK("https://www.marlow-hunter.com/wp-content/export", "https://www.marlow-hunter.com/wp-content/export")</f>
        <v>https://www.marlow-hunter.com/wp-content/export</v>
      </c>
      <c r="B57" t="s">
        <v>5</v>
      </c>
      <c r="C57" t="str">
        <f t="shared" si="4"/>
        <v>Manuals &amp;amp; Schematics</v>
      </c>
      <c r="D57" t="s">
        <v>378</v>
      </c>
    </row>
    <row r="58" spans="1:5" x14ac:dyDescent="0.2">
      <c r="A58" t="str">
        <f>HYPERLINK("https://files.bruggeman.tech/ham", "https://files.bruggeman.tech/ham")</f>
        <v>https://files.bruggeman.tech/ham</v>
      </c>
      <c r="B58" t="s">
        <v>5</v>
      </c>
      <c r="C58" t="str">
        <f t="shared" si="4"/>
        <v>Manuals &amp;amp; Schematics</v>
      </c>
      <c r="D58" t="s">
        <v>378</v>
      </c>
    </row>
    <row r="59" spans="1:5" x14ac:dyDescent="0.2">
      <c r="A59" t="str">
        <f>HYPERLINK("https://leme.me/verah/mp3", "https://leme.me/verah/mp3")</f>
        <v>https://leme.me/verah/mp3</v>
      </c>
      <c r="B59" t="s">
        <v>5</v>
      </c>
      <c r="C59" t="str">
        <f>HYPERLINK("https://www.reddit.com/r/opendirectories/comments/njfadp", "Japanese Music directory")</f>
        <v>Japanese Music directory</v>
      </c>
      <c r="D59" t="s">
        <v>461</v>
      </c>
      <c r="E59" t="s">
        <v>63</v>
      </c>
    </row>
    <row r="60" spans="1:5" x14ac:dyDescent="0.2">
      <c r="A60" t="str">
        <f>HYPERLINK("http://bernserver.v-comp.ch:8282/ms", "http://bernserver.v-comp.ch:8282/ms")</f>
        <v>http://bernserver.v-comp.ch:8282/ms</v>
      </c>
      <c r="B60" t="s">
        <v>5</v>
      </c>
      <c r="C60" t="str">
        <f>HYPERLINK("https://www.reddit.com/r/opendirectories/comments/n9zc9i", "nice open dir - FLAC")</f>
        <v>nice open dir - FLAC</v>
      </c>
      <c r="D60" t="s">
        <v>462</v>
      </c>
    </row>
    <row r="61" spans="1:5" x14ac:dyDescent="0.2">
      <c r="A61" t="str">
        <f>HYPERLINK("https://guitarvoice.com/wp-content/uploads", "https://guitarvoice.com/wp-content/uploads")</f>
        <v>https://guitarvoice.com/wp-content/uploads</v>
      </c>
      <c r="B61" t="s">
        <v>5</v>
      </c>
      <c r="C61" t="str">
        <f>HYPERLINK("https://www.reddit.com/r/opendirectories/comments/n53ldc", "Guitar-less MP3's of thousands of songs - great for guitar practice")</f>
        <v>Guitar-less MP3's of thousands of songs - great for guitar practice</v>
      </c>
      <c r="D61" t="s">
        <v>463</v>
      </c>
    </row>
    <row r="62" spans="1:5" x14ac:dyDescent="0.2">
      <c r="A62" t="str">
        <f>HYPERLINK("https://play.pokemonshowdown.com/audio", "https://play.pokemonshowdown.com/audio")</f>
        <v>https://play.pokemonshowdown.com/audio</v>
      </c>
      <c r="B62" t="s">
        <v>5</v>
      </c>
      <c r="C62" t="str">
        <f>HYPERLINK("https://www.reddit.com/r/opendirectories/comments/myvrkc", "Pokemon related sound files (i.e. Pokemon cries)")</f>
        <v>Pokemon related sound files (i.e. Pokemon cries)</v>
      </c>
      <c r="D62" t="s">
        <v>464</v>
      </c>
    </row>
    <row r="63" spans="1:5" x14ac:dyDescent="0.2">
      <c r="A63" t="str">
        <f>HYPERLINK("https://www.buymixtapes.com/upload/albums", "https://www.buymixtapes.com/upload/albums")</f>
        <v>https://www.buymixtapes.com/upload/albums</v>
      </c>
      <c r="B63" t="s">
        <v>5</v>
      </c>
      <c r="C63" t="str">
        <f>HYPERLINK("https://www.reddit.com/r/opendirectories/comments/mw3ix0", "Some MP3, mixtapes")</f>
        <v>Some MP3, mixtapes</v>
      </c>
      <c r="D63" t="s">
        <v>34</v>
      </c>
    </row>
    <row r="64" spans="1:5" x14ac:dyDescent="0.2">
      <c r="A64" t="str">
        <f>HYPERLINK("https://www.hueylong.com/docs", "https://www.hueylong.com/docs")</f>
        <v>https://www.hueylong.com/docs</v>
      </c>
      <c r="B64" t="s">
        <v>5</v>
      </c>
      <c r="C64" t="str">
        <f>HYPERLINK("https://www.reddit.com/r/opendirectories/comments/mv73v0", "Collection of media related to Louisiana politician Huey Long")</f>
        <v>Collection of media related to Louisiana politician Huey Long</v>
      </c>
      <c r="D64" t="s">
        <v>465</v>
      </c>
    </row>
    <row r="65" spans="1:5" x14ac:dyDescent="0.2">
      <c r="A65" t="str">
        <f>HYPERLINK("https://www.hueylong.com/images", "https://www.hueylong.com/images")</f>
        <v>https://www.hueylong.com/images</v>
      </c>
      <c r="B65" t="s">
        <v>5</v>
      </c>
      <c r="C65" t="str">
        <f>HYPERLINK("https://www.reddit.com/r/opendirectories/comments/mv73v0", "Collection of media related to Louisiana politician Huey Long")</f>
        <v>Collection of media related to Louisiana politician Huey Long</v>
      </c>
      <c r="D65" t="s">
        <v>465</v>
      </c>
    </row>
    <row r="66" spans="1:5" x14ac:dyDescent="0.2">
      <c r="A66" t="str">
        <f>HYPERLINK("https://www.hueylong.com/audio", "https://www.hueylong.com/audio")</f>
        <v>https://www.hueylong.com/audio</v>
      </c>
      <c r="B66" t="s">
        <v>5</v>
      </c>
      <c r="C66" t="str">
        <f>HYPERLINK("https://www.reddit.com/r/opendirectories/comments/mv73v0", "Collection of media related to Louisiana politician Huey Long")</f>
        <v>Collection of media related to Louisiana politician Huey Long</v>
      </c>
      <c r="D66" t="s">
        <v>465</v>
      </c>
    </row>
    <row r="67" spans="1:5" x14ac:dyDescent="0.2">
      <c r="A67" t="str">
        <f>HYPERLINK("http://lutinmalin.demeter.feralhosting.com", "http://lutinmalin.demeter.feralhosting.com")</f>
        <v>http://lutinmalin.demeter.feralhosting.com</v>
      </c>
      <c r="B67" t="s">
        <v>5</v>
      </c>
      <c r="C67" t="str">
        <f>HYPERLINK("https://www.reddit.com/r/opendirectories/comments/mkywfa", "500 greatest song!")</f>
        <v>500 greatest song!</v>
      </c>
      <c r="D67" t="s">
        <v>386</v>
      </c>
    </row>
    <row r="68" spans="1:5" x14ac:dyDescent="0.2">
      <c r="A68" t="str">
        <f>HYPERLINK("http://nordserv.no", "http://nordserv.no")</f>
        <v>http://nordserv.no</v>
      </c>
      <c r="B68" t="s">
        <v>5</v>
      </c>
      <c r="C68" t="str">
        <f>HYPERLINK("https://www.reddit.com/r/opendirectories/comments/jdld03", "NICE DIR (MP3@320)")</f>
        <v>NICE DIR (MP3@320)</v>
      </c>
      <c r="D68" t="s">
        <v>466</v>
      </c>
      <c r="E68" t="s">
        <v>14</v>
      </c>
    </row>
    <row r="69" spans="1:5" x14ac:dyDescent="0.2">
      <c r="A69" t="str">
        <f>HYPERLINK("http://msp.ucsd.edu", "http://msp.ucsd.edu")</f>
        <v>http://msp.ucsd.edu</v>
      </c>
      <c r="B69" t="s">
        <v>5</v>
      </c>
      <c r="C69" t="str">
        <f>HYPERLINK("https://www.reddit.com/r/opendirectories/comments/mf0wub", "UCSD Electronic Music Program")</f>
        <v>UCSD Electronic Music Program</v>
      </c>
      <c r="D69" t="s">
        <v>42</v>
      </c>
    </row>
    <row r="70" spans="1:5" x14ac:dyDescent="0.2">
      <c r="A70" t="str">
        <f>HYPERLINK("https://www.rogerhodgson.com/documents", "https://www.rogerhodgson.com/documents")</f>
        <v>https://www.rogerhodgson.com/documents</v>
      </c>
      <c r="B70" t="s">
        <v>5</v>
      </c>
      <c r="C70" t="str">
        <f>HYPERLINK("https://www.reddit.com/r/opendirectories/comments/mezs8v", "Supertramp Stockpile")</f>
        <v>Supertramp Stockpile</v>
      </c>
      <c r="D70" t="s">
        <v>42</v>
      </c>
    </row>
    <row r="71" spans="1:5" x14ac:dyDescent="0.2">
      <c r="A71" t="str">
        <f>HYPERLINK("http://c-73-88-44-174.hsd1.mn.comcast.net/MusicArchive", "http://c-73-88-44-174.hsd1.mn.comcast.net/MusicArchive")</f>
        <v>http://c-73-88-44-174.hsd1.mn.comcast.net/MusicArchive</v>
      </c>
      <c r="B71" t="s">
        <v>5</v>
      </c>
      <c r="C71" t="str">
        <f>HYPERLINK("https://www.reddit.com/r/opendirectories/comments/dt5yf0", "Music from the 1930's through 1950's - Big Band, Jazz, Polka, etc.")</f>
        <v>Music from the 1930's through 1950's - Big Band, Jazz, Polka, etc.</v>
      </c>
      <c r="D71" t="s">
        <v>467</v>
      </c>
    </row>
    <row r="72" spans="1:5" x14ac:dyDescent="0.2">
      <c r="A72" t="str">
        <f>HYPERLINK("https://parakaproductions.com/audio", "https://parakaproductions.com/audio")</f>
        <v>https://parakaproductions.com/audio</v>
      </c>
      <c r="B72" t="s">
        <v>5</v>
      </c>
      <c r="C72" t="str">
        <f>HYPERLINK("https://www.reddit.com/r/opendirectories/comments/m5u7au", "Lots Off audio books....")</f>
        <v>Lots Off audio books....</v>
      </c>
      <c r="D72" t="s">
        <v>44</v>
      </c>
    </row>
    <row r="73" spans="1:5" x14ac:dyDescent="0.2">
      <c r="A73" t="str">
        <f>HYPERLINK("http://www2.vcdh.virginia.edu/realmedia", "http://www2.vcdh.virginia.edu/realmedia")</f>
        <v>http://www2.vcdh.virginia.edu/realmedia</v>
      </c>
      <c r="B73" t="s">
        <v>5</v>
      </c>
      <c r="C73" t="str">
        <f>HYPERLINK("https://www.reddit.com/r/opendirectories/comments/m5fzzq", "university lectures (audio only)")</f>
        <v>university lectures (audio only)</v>
      </c>
      <c r="D73" t="s">
        <v>44</v>
      </c>
    </row>
    <row r="74" spans="1:5" x14ac:dyDescent="0.2">
      <c r="A74" t="str">
        <f>HYPERLINK("https://sys.re", "https://sys.re")</f>
        <v>https://sys.re</v>
      </c>
      <c r="B74" t="s">
        <v>5</v>
      </c>
      <c r="C74" t="str">
        <f>HYPERLINK("https://www.reddit.com/r/opendirectories/comments/m3oduu", "Wallpapers..")</f>
        <v>Wallpapers..</v>
      </c>
      <c r="D74" t="s">
        <v>282</v>
      </c>
    </row>
    <row r="75" spans="1:5" x14ac:dyDescent="0.2">
      <c r="A75" t="str">
        <f>HYPERLINK("https://teresadapraiamidis.com/Mp3", "https://teresadapraiamidis.com/Mp3")</f>
        <v>https://teresadapraiamidis.com/Mp3</v>
      </c>
      <c r="B75" t="s">
        <v>5</v>
      </c>
      <c r="C75" t="str">
        <f>HYPERLINK("https://www.reddit.com/r/opendirectories/comments/m3j5rw", "Music...again..")</f>
        <v>Music...again..</v>
      </c>
      <c r="D75" t="s">
        <v>282</v>
      </c>
    </row>
    <row r="76" spans="1:5" x14ac:dyDescent="0.2">
      <c r="A76" t="str">
        <f>HYPERLINK("https://arcarc.xmission.com", "https://arcarc.xmission.com")</f>
        <v>https://arcarc.xmission.com</v>
      </c>
      <c r="B76" t="s">
        <v>5</v>
      </c>
      <c r="C76" t="str">
        <f>HYPERLINK("https://www.reddit.com/r/opendirectories/comments/m3ihba", "Basic Electronics...")</f>
        <v>Basic Electronics...</v>
      </c>
      <c r="D76" t="s">
        <v>282</v>
      </c>
    </row>
    <row r="77" spans="1:5" x14ac:dyDescent="0.2">
      <c r="A77" t="str">
        <f>HYPERLINK("http://www.apo33.org/pub", "http://www.apo33.org/pub")</f>
        <v>http://www.apo33.org/pub</v>
      </c>
      <c r="B77" t="s">
        <v>5</v>
      </c>
      <c r="C77" t="str">
        <f>HYPERLINK("https://www.reddit.com/r/opendirectories/comments/m3ihba", "Basic Electronics...")</f>
        <v>Basic Electronics...</v>
      </c>
      <c r="D77" t="s">
        <v>282</v>
      </c>
    </row>
    <row r="78" spans="1:5" x14ac:dyDescent="0.2">
      <c r="A78" t="str">
        <f>HYPERLINK("http://foto.teoteater.ee", "http://foto.teoteater.ee")</f>
        <v>http://foto.teoteater.ee</v>
      </c>
      <c r="B78" t="s">
        <v>5</v>
      </c>
      <c r="C78" t="str">
        <f>HYPERLINK("https://www.reddit.com/r/opendirectories/comments/m2zs00", "Sound Effects.....")</f>
        <v>Sound Effects.....</v>
      </c>
      <c r="D78" t="s">
        <v>388</v>
      </c>
    </row>
    <row r="79" spans="1:5" x14ac:dyDescent="0.2">
      <c r="A79" t="str">
        <f>HYPERLINK("http://oksure.com/audio", "http://oksure.com/audio")</f>
        <v>http://oksure.com/audio</v>
      </c>
      <c r="B79" t="s">
        <v>5</v>
      </c>
      <c r="C79" t="str">
        <f t="shared" ref="C79:C86" si="5">HYPERLINK("https://www.reddit.com/r/opendirectories/comments/lztfm8", "Just some mp3's")</f>
        <v>Just some mp3's</v>
      </c>
      <c r="D79" t="s">
        <v>285</v>
      </c>
    </row>
    <row r="80" spans="1:5" x14ac:dyDescent="0.2">
      <c r="A80" t="str">
        <f>HYPERLINK("http://75.86.91.167", "http://75.86.91.167")</f>
        <v>http://75.86.91.167</v>
      </c>
      <c r="B80" t="s">
        <v>5</v>
      </c>
      <c r="C80" t="str">
        <f t="shared" si="5"/>
        <v>Just some mp3's</v>
      </c>
      <c r="D80" t="s">
        <v>285</v>
      </c>
    </row>
    <row r="81" spans="1:5" x14ac:dyDescent="0.2">
      <c r="A81" t="str">
        <f>HYPERLINK("https://preview.horizonsmusic.co.uk", "https://preview.horizonsmusic.co.uk")</f>
        <v>https://preview.horizonsmusic.co.uk</v>
      </c>
      <c r="B81" t="s">
        <v>5</v>
      </c>
      <c r="C81" t="str">
        <f t="shared" si="5"/>
        <v>Just some mp3's</v>
      </c>
      <c r="D81" t="s">
        <v>285</v>
      </c>
    </row>
    <row r="82" spans="1:5" x14ac:dyDescent="0.2">
      <c r="A82" t="str">
        <f>HYPERLINK("http://www.sbg.bio.ic.ac.uk/~brj03/music", "http://www.sbg.bio.ic.ac.uk/~brj03/music")</f>
        <v>http://www.sbg.bio.ic.ac.uk/~brj03/music</v>
      </c>
      <c r="B82" t="s">
        <v>5</v>
      </c>
      <c r="C82" t="str">
        <f t="shared" si="5"/>
        <v>Just some mp3's</v>
      </c>
      <c r="D82" t="s">
        <v>285</v>
      </c>
    </row>
    <row r="83" spans="1:5" x14ac:dyDescent="0.2">
      <c r="A83" t="str">
        <f>HYPERLINK("http://198.11.224.203/11LRNI/PUBLIC", "http://198.11.224.203/11LRNI/PUBLIC")</f>
        <v>http://198.11.224.203/11LRNI/PUBLIC</v>
      </c>
      <c r="B83" t="s">
        <v>5</v>
      </c>
      <c r="C83" t="str">
        <f t="shared" si="5"/>
        <v>Just some mp3's</v>
      </c>
      <c r="D83" t="s">
        <v>285</v>
      </c>
    </row>
    <row r="84" spans="1:5" x14ac:dyDescent="0.2">
      <c r="A84" t="str">
        <f>HYPERLINK("https://files.duspectacle.com/mp3", "https://files.duspectacle.com/mp3")</f>
        <v>https://files.duspectacle.com/mp3</v>
      </c>
      <c r="B84" t="s">
        <v>5</v>
      </c>
      <c r="C84" t="str">
        <f t="shared" si="5"/>
        <v>Just some mp3's</v>
      </c>
      <c r="D84" t="s">
        <v>285</v>
      </c>
    </row>
    <row r="85" spans="1:5" x14ac:dyDescent="0.2">
      <c r="A85" t="str">
        <f>HYPERLINK("http://baseshare.com/uploads/zips", "http://baseshare.com/uploads/zips")</f>
        <v>http://baseshare.com/uploads/zips</v>
      </c>
      <c r="B85" t="s">
        <v>5</v>
      </c>
      <c r="C85" t="str">
        <f t="shared" si="5"/>
        <v>Just some mp3's</v>
      </c>
      <c r="D85" t="s">
        <v>285</v>
      </c>
    </row>
    <row r="86" spans="1:5" x14ac:dyDescent="0.2">
      <c r="A86" t="str">
        <f>HYPERLINK("https://bootiemashup.com/wp-content/uploads", "https://bootiemashup.com/wp-content/uploads")</f>
        <v>https://bootiemashup.com/wp-content/uploads</v>
      </c>
      <c r="B86" t="s">
        <v>5</v>
      </c>
      <c r="C86" t="str">
        <f t="shared" si="5"/>
        <v>Just some mp3's</v>
      </c>
      <c r="D86" t="s">
        <v>285</v>
      </c>
    </row>
    <row r="87" spans="1:5" x14ac:dyDescent="0.2">
      <c r="A87" t="str">
        <f>HYPERLINK("http://crypthome.com/members/mike", "http://crypthome.com/members/mike")</f>
        <v>http://crypthome.com/members/mike</v>
      </c>
      <c r="B87" t="s">
        <v>5</v>
      </c>
      <c r="C87" t="str">
        <f>HYPERLINK("https://www.reddit.com/r/opendirectories/comments/lxjwpl", "Huge Collection of *.wav files [First Post]")</f>
        <v>Huge Collection of *.wav files [First Post]</v>
      </c>
      <c r="D87" t="s">
        <v>468</v>
      </c>
    </row>
    <row r="88" spans="1:5" x14ac:dyDescent="0.2">
      <c r="A88" t="str">
        <f>HYPERLINK("http://190.2.150.22", "http://190.2.150.22")</f>
        <v>http://190.2.150.22</v>
      </c>
      <c r="B88" t="s">
        <v>5</v>
      </c>
      <c r="C88" t="str">
        <f>HYPERLINK("https://www.reddit.com/r/opendirectories/comments/lsupnf", "numbered, not titled .it + .en movies")</f>
        <v>numbered, not titled .it + .en movies</v>
      </c>
      <c r="D88" t="s">
        <v>286</v>
      </c>
    </row>
    <row r="89" spans="1:5" x14ac:dyDescent="0.2">
      <c r="A89" t="str">
        <f>HYPERLINK("http://3.onj.me/phonetones", "http://3.onj.me/phonetones")</f>
        <v>http://3.onj.me/phonetones</v>
      </c>
      <c r="B89" t="s">
        <v>5</v>
      </c>
      <c r="C89" t="str">
        <f>HYPERLINK("https://www.reddit.com/r/opendirectories/comments/lrfd5a", "Lots of Ringtones in this directory")</f>
        <v>Lots of Ringtones in this directory</v>
      </c>
      <c r="D89" t="s">
        <v>469</v>
      </c>
    </row>
    <row r="90" spans="1:5" x14ac:dyDescent="0.2">
      <c r="A90" t="str">
        <f>HYPERLINK("https://fsi-languages.yojik.eu/archives", "https://fsi-languages.yojik.eu/archives")</f>
        <v>https://fsi-languages.yojik.eu/archives</v>
      </c>
      <c r="B90" t="s">
        <v>5</v>
      </c>
      <c r="C90" t="str">
        <f>HYPERLINK("https://www.reddit.com/r/opendirectories/comments/lik47p", "Books, MIDIs, language courses, and FLACs")</f>
        <v>Books, MIDIs, language courses, and FLACs</v>
      </c>
      <c r="D90" t="s">
        <v>290</v>
      </c>
    </row>
    <row r="91" spans="1:5" x14ac:dyDescent="0.2">
      <c r="A91" t="str">
        <f>HYPERLINK("http://109.200.155.175", "http://109.200.155.175")</f>
        <v>http://109.200.155.175</v>
      </c>
      <c r="B91" t="s">
        <v>5</v>
      </c>
      <c r="C91" t="str">
        <f>HYPERLINK("https://www.reddit.com/r/opendirectories/comments/li91r8", "Black Sabbath - Paranoid (1970) / Deep Purple - Machine Head (1973) / Pink Floyd - The Endless River (Deluxe) CD &amp;amp; Bluray + Lots of other stuff!!")</f>
        <v>Black Sabbath - Paranoid (1970) / Deep Purple - Machine Head (1973) / Pink Floyd - The Endless River (Deluxe) CD &amp;amp; Bluray + Lots of other stuff!!</v>
      </c>
      <c r="D91" t="s">
        <v>290</v>
      </c>
      <c r="E91" t="s">
        <v>156</v>
      </c>
    </row>
    <row r="92" spans="1:5" x14ac:dyDescent="0.2">
      <c r="A92" t="str">
        <f>HYPERLINK("http://b1g-arch1ve.buho.ch", "http://b1g-arch1ve.buho.ch")</f>
        <v>http://b1g-arch1ve.buho.ch</v>
      </c>
      <c r="B92" t="s">
        <v>5</v>
      </c>
      <c r="C92" t="str">
        <f>HYPERLINK("https://www.reddit.com/r/opendirectories/comments/dlx0do", "Chill_Vibe, Ambient Electronica &amp;lt;music&amp;gt;")</f>
        <v>Chill_Vibe, Ambient Electronica &amp;lt;music&amp;gt;</v>
      </c>
      <c r="D92" t="s">
        <v>470</v>
      </c>
    </row>
    <row r="93" spans="1:5" x14ac:dyDescent="0.2">
      <c r="A93" t="str">
        <f>HYPERLINK("http://www.groovydomain.com/gallery", "http://www.groovydomain.com/gallery")</f>
        <v>http://www.groovydomain.com/gallery</v>
      </c>
      <c r="B93" t="s">
        <v>5</v>
      </c>
      <c r="C93" t="str">
        <f>HYPERLINK("https://www.reddit.com/r/opendirectories/comments/5dzb6s", "Rock MP3 Albums")</f>
        <v>Rock MP3 Albums</v>
      </c>
      <c r="D93" t="s">
        <v>211</v>
      </c>
    </row>
    <row r="94" spans="1:5" x14ac:dyDescent="0.2">
      <c r="A94" t="str">
        <f>HYPERLINK("http://jacobsm.com/geedryve/records", "http://jacobsm.com/geedryve/records")</f>
        <v>http://jacobsm.com/geedryve/records</v>
      </c>
      <c r="B94" t="s">
        <v>5</v>
      </c>
      <c r="C94" t="str">
        <f>HYPERLINK("https://www.reddit.com/r/opendirectories/comments/la0ba6", "A great collection of UK punk, new wave, post punk MP3’s")</f>
        <v>A great collection of UK punk, new wave, post punk MP3’s</v>
      </c>
      <c r="D94" t="s">
        <v>471</v>
      </c>
    </row>
    <row r="95" spans="1:5" x14ac:dyDescent="0.2">
      <c r="A95" t="str">
        <f>HYPERLINK("https://download.tuxfamily.org", "https://download.tuxfamily.org")</f>
        <v>https://download.tuxfamily.org</v>
      </c>
      <c r="B95" t="s">
        <v>5</v>
      </c>
      <c r="C95" t="str">
        <f>HYPERLINK("https://www.reddit.com/r/opendirectories/comments/etfrtz", "big ass directory (roms for sure, not sure what else)")</f>
        <v>big ass directory (roms for sure, not sure what else)</v>
      </c>
      <c r="D95" t="s">
        <v>472</v>
      </c>
    </row>
    <row r="96" spans="1:5" x14ac:dyDescent="0.2">
      <c r="A96" t="str">
        <f>HYPERLINK("http://hcmaslov.d-real.sci-nnov.ru", "http://hcmaslov.d-real.sci-nnov.ru")</f>
        <v>http://hcmaslov.d-real.sci-nnov.ru</v>
      </c>
      <c r="B96" t="s">
        <v>5</v>
      </c>
      <c r="C96" t="str">
        <f>HYPERLINK("https://www.reddit.com/r/opendirectories/comments/6vw8h5", "Russian guy's public folder of mp3s, family photos, cat pictures, and documents")</f>
        <v>Russian guy's public folder of mp3s, family photos, cat pictures, and documents</v>
      </c>
      <c r="D96" t="s">
        <v>393</v>
      </c>
      <c r="E96" t="s">
        <v>156</v>
      </c>
    </row>
    <row r="97" spans="1:4" x14ac:dyDescent="0.2">
      <c r="A97" t="str">
        <f>HYPERLINK("https://themamaship.com/music", "https://themamaship.com/music")</f>
        <v>https://themamaship.com/music</v>
      </c>
      <c r="B97" t="s">
        <v>5</v>
      </c>
      <c r="C97" t="str">
        <f>HYPERLINK("https://www.reddit.com/r/opendirectories/comments/kzlrm2", "90's Music Collection, ~400 MP3's")</f>
        <v>90's Music Collection, ~400 MP3's</v>
      </c>
      <c r="D97" t="s">
        <v>473</v>
      </c>
    </row>
    <row r="98" spans="1:4" x14ac:dyDescent="0.2">
      <c r="A98" t="str">
        <f>HYPERLINK("https://chiru.no/dl/Anime%20lossless%20OP%20ED%20IN%20collection", "https://chiru.no/dl/Anime%20lossless%20OP%20ED%20IN%20collection")</f>
        <v>https://chiru.no/dl/Anime%20lossless%20OP%20ED%20IN%20collection</v>
      </c>
      <c r="B98" t="s">
        <v>5</v>
      </c>
      <c r="C98" t="str">
        <f>HYPERLINK("https://www.reddit.com/r/opendirectories/comments/kxcqp1", "A lot of FLAC music from anime + fast download speed")</f>
        <v>A lot of FLAC music from anime + fast download speed</v>
      </c>
      <c r="D98" t="s">
        <v>394</v>
      </c>
    </row>
    <row r="99" spans="1:4" x14ac:dyDescent="0.2">
      <c r="A99" t="str">
        <f>HYPERLINK("http://matthewlombaerde.com/Personal_Music", "http://matthewlombaerde.com/Personal_Music")</f>
        <v>http://matthewlombaerde.com/Personal_Music</v>
      </c>
      <c r="B99" t="s">
        <v>5</v>
      </c>
      <c r="C99" t="str">
        <f>HYPERLINK("https://www.reddit.com/r/opendirectories/comments/klbj1i", "MUSIC - assortment of who knows what")</f>
        <v>MUSIC - assortment of who knows what</v>
      </c>
      <c r="D99" t="s">
        <v>297</v>
      </c>
    </row>
    <row r="100" spans="1:4" x14ac:dyDescent="0.2">
      <c r="A100" t="str">
        <f>HYPERLINK("https://hypendium.com", "https://hypendium.com")</f>
        <v>https://hypendium.com</v>
      </c>
      <c r="B100" t="s">
        <v>5</v>
      </c>
      <c r="C100" t="str">
        <f>HYPERLINK("https://www.reddit.com/r/opendirectories/comments/kkt0eo", "Not sure but looks like scenes from video games (possibly NSFW)")</f>
        <v>Not sure but looks like scenes from video games (possibly NSFW)</v>
      </c>
      <c r="D100" t="s">
        <v>297</v>
      </c>
    </row>
    <row r="101" spans="1:4" x14ac:dyDescent="0.2">
      <c r="A101" t="str">
        <f>HYPERLINK("http://www.ashleecadell.com", "http://www.ashleecadell.com")</f>
        <v>http://www.ashleecadell.com</v>
      </c>
      <c r="B101" t="s">
        <v>5</v>
      </c>
      <c r="C101" t="str">
        <f>HYPERLINK("https://www.reddit.com/r/opendirectories/comments/jj3fas", "Tons of MP3s, Good Speeds")</f>
        <v>Tons of MP3s, Good Speeds</v>
      </c>
      <c r="D101" t="s">
        <v>474</v>
      </c>
    </row>
    <row r="102" spans="1:4" x14ac:dyDescent="0.2">
      <c r="A102" t="str">
        <f>HYPERLINK("http://www.splattermind.com", "http://www.splattermind.com")</f>
        <v>http://www.splattermind.com</v>
      </c>
      <c r="B102" t="s">
        <v>5</v>
      </c>
      <c r="C102" t="str">
        <f>HYPERLINK("https://www.reddit.com/r/opendirectories/comments/aby1kp", "music video and audio")</f>
        <v>music video and audio</v>
      </c>
      <c r="D102" t="s">
        <v>303</v>
      </c>
    </row>
    <row r="103" spans="1:4" x14ac:dyDescent="0.2">
      <c r="A103" t="str">
        <f>HYPERLINK("http://www.kameli.net/~manu", "http://www.kameli.net/~manu")</f>
        <v>http://www.kameli.net/~manu</v>
      </c>
      <c r="B103" t="s">
        <v>5</v>
      </c>
      <c r="C103" t="str">
        <f>HYPERLINK("https://www.reddit.com/r/opendirectories/comments/5ndz7r", "Some video game Mp3's")</f>
        <v>Some video game Mp3's</v>
      </c>
      <c r="D103" t="s">
        <v>307</v>
      </c>
    </row>
    <row r="104" spans="1:4" x14ac:dyDescent="0.2">
      <c r="A104" t="str">
        <f>HYPERLINK("https://home.pilsfree.net", "https://home.pilsfree.net")</f>
        <v>https://home.pilsfree.net</v>
      </c>
      <c r="B104" t="s">
        <v>5</v>
      </c>
      <c r="C104" t="str">
        <f>HYPERLINK("https://www.reddit.com/r/opendirectories/comments/ape43b", "list of RE-POST's")</f>
        <v>list of RE-POST's</v>
      </c>
      <c r="D104" t="s">
        <v>396</v>
      </c>
    </row>
    <row r="105" spans="1:4" x14ac:dyDescent="0.2">
      <c r="A105" t="str">
        <f>HYPERLINK("https://crashrecovery.org/audio", "https://crashrecovery.org/audio")</f>
        <v>https://crashrecovery.org/audio</v>
      </c>
      <c r="B105" t="s">
        <v>5</v>
      </c>
      <c r="C105" t="str">
        <f>HYPERLINK("https://www.reddit.com/r/opendirectories/comments/jcmlti", "Mp3s of radio or podcasts on the conspiracy side ie jeff rense jim fetzer")</f>
        <v>Mp3s of radio or podcasts on the conspiracy side ie jeff rense jim fetzer</v>
      </c>
      <c r="D105" t="s">
        <v>475</v>
      </c>
    </row>
    <row r="106" spans="1:4" x14ac:dyDescent="0.2">
      <c r="A106" t="str">
        <f>HYPERLINK("https://www.newmp3ringtone.com/funarea", "https://www.newmp3ringtone.com/funarea")</f>
        <v>https://www.newmp3ringtone.com/funarea</v>
      </c>
      <c r="B106" t="s">
        <v>5</v>
      </c>
      <c r="C106" t="str">
        <f>HYPERLINK("https://www.reddit.com/r/opendirectories/comments/j16afp", "Cell phone ringtones by the boatloads. Many of them have Indian Bollywood singing. However, some good normal ringtones as well. MP3 format.")</f>
        <v>Cell phone ringtones by the boatloads. Many of them have Indian Bollywood singing. However, some good normal ringtones as well. MP3 format.</v>
      </c>
      <c r="D106" t="s">
        <v>476</v>
      </c>
    </row>
    <row r="107" spans="1:4" x14ac:dyDescent="0.2">
      <c r="A107" t="str">
        <f>HYPERLINK("http://poetrank.ru/wp-content/uploads", "http://poetrank.ru/wp-content/uploads")</f>
        <v>http://poetrank.ru/wp-content/uploads</v>
      </c>
      <c r="B107" t="s">
        <v>5</v>
      </c>
      <c r="C107" t="str">
        <f>HYPERLINK("https://www.reddit.com/r/opendirectories/comments/iyv7wt", "Plenty of MP3 songs")</f>
        <v>Plenty of MP3 songs</v>
      </c>
      <c r="D107" t="s">
        <v>477</v>
      </c>
    </row>
    <row r="108" spans="1:4" x14ac:dyDescent="0.2">
      <c r="A108" t="str">
        <f>HYPERLINK("http://103.79.77.141", "http://103.79.77.141")</f>
        <v>http://103.79.77.141</v>
      </c>
      <c r="B108" t="s">
        <v>5</v>
      </c>
      <c r="C108" t="str">
        <f>HYPERLINK("https://www.reddit.com/r/opendirectories/comments/gxfdpd", "Various Music in FLAC, WAV ... Celine Dion (cough cough), Jazz, Shiratori ...")</f>
        <v>Various Music in FLAC, WAV ... Celine Dion (cough cough), Jazz, Shiratori ...</v>
      </c>
      <c r="D108" t="s">
        <v>478</v>
      </c>
    </row>
    <row r="109" spans="1:4" x14ac:dyDescent="0.2">
      <c r="A109" t="str">
        <f>HYPERLINK("http://home.thomas.pp.ua", "http://home.thomas.pp.ua")</f>
        <v>http://home.thomas.pp.ua</v>
      </c>
      <c r="B109" t="s">
        <v>5</v>
      </c>
      <c r="C109" t="str">
        <f>HYPERLINK("https://www.reddit.com/r/opendirectories/comments/inpl43", "mix by genre [MP3]")</f>
        <v>mix by genre [MP3]</v>
      </c>
      <c r="D109" t="s">
        <v>374</v>
      </c>
    </row>
    <row r="110" spans="1:4" x14ac:dyDescent="0.2">
      <c r="A110" t="str">
        <f>HYPERLINK("https://funambule.org/classique", "https://funambule.org/classique")</f>
        <v>https://funambule.org/classique</v>
      </c>
      <c r="B110" t="s">
        <v>5</v>
      </c>
      <c r="C110" t="str">
        <f>HYPERLINK("https://www.reddit.com/r/opendirectories/comments/in3kn4", "classique FLAC")</f>
        <v>classique FLAC</v>
      </c>
      <c r="D110" t="s">
        <v>479</v>
      </c>
    </row>
    <row r="111" spans="1:4" x14ac:dyDescent="0.2">
      <c r="A111" t="str">
        <f>HYPERLINK("http://192.210.237.133", "http://192.210.237.133")</f>
        <v>http://192.210.237.133</v>
      </c>
      <c r="B111" t="s">
        <v>5</v>
      </c>
      <c r="C111" t="str">
        <f>HYPERLINK("https://www.reddit.com/r/opendirectories/comments/imiimb", "some SACD")</f>
        <v>some SACD</v>
      </c>
      <c r="D111" t="s">
        <v>69</v>
      </c>
    </row>
    <row r="112" spans="1:4" x14ac:dyDescent="0.2">
      <c r="A112" t="str">
        <f>HYPERLINK("http://rtellason.com/manuals", "http://rtellason.com/manuals")</f>
        <v>http://rtellason.com/manuals</v>
      </c>
      <c r="B112" t="s">
        <v>5</v>
      </c>
      <c r="C112" t="str">
        <f>HYPERLINK("https://www.reddit.com/r/opendirectories/comments/idmfd1", "Computer Hardware, Printers, Schematics Manuals and More")</f>
        <v>Computer Hardware, Printers, Schematics Manuals and More</v>
      </c>
      <c r="D112" t="s">
        <v>72</v>
      </c>
    </row>
    <row r="113" spans="1:5" x14ac:dyDescent="0.2">
      <c r="A113" t="str">
        <f>HYPERLINK("http://mp3.will.illinois.edu", "http://mp3.will.illinois.edu")</f>
        <v>http://mp3.will.illinois.edu</v>
      </c>
      <c r="B113" t="s">
        <v>5</v>
      </c>
      <c r="C113" t="str">
        <f>HYPERLINK("https://www.reddit.com/r/opendirectories/comments/iao48g", "radio streams")</f>
        <v>radio streams</v>
      </c>
      <c r="D113" t="s">
        <v>480</v>
      </c>
    </row>
    <row r="114" spans="1:5" x14ac:dyDescent="0.2">
      <c r="A114" t="str">
        <f>HYPERLINK("https://archives.eyrie.org", "https://archives.eyrie.org")</f>
        <v>https://archives.eyrie.org</v>
      </c>
      <c r="B114" t="s">
        <v>5</v>
      </c>
      <c r="C114" t="str">
        <f>HYPERLINK("https://www.reddit.com/r/opendirectories/comments/dzq53d", "Evangelion Fanfic (Not NSFW but weird as fuck, if you know evangelion)")</f>
        <v>Evangelion Fanfic (Not NSFW but weird as fuck, if you know evangelion)</v>
      </c>
      <c r="D114" t="s">
        <v>105</v>
      </c>
    </row>
    <row r="115" spans="1:5" x14ac:dyDescent="0.2">
      <c r="A115" t="str">
        <f>HYPERLINK("https://download.quranicaudio.com", "https://download.quranicaudio.com")</f>
        <v>https://download.quranicaudio.com</v>
      </c>
      <c r="B115" t="s">
        <v>5</v>
      </c>
      <c r="C115" t="str">
        <f>HYPERLINK("https://www.reddit.com/r/opendirectories/comments/i8sywl", "Coran, Alcorán, Qurán, Korán in mp3")</f>
        <v>Coran, Alcorán, Qurán, Korán in mp3</v>
      </c>
      <c r="D115" t="s">
        <v>481</v>
      </c>
    </row>
    <row r="116" spans="1:5" x14ac:dyDescent="0.2">
      <c r="A116" t="str">
        <f>HYPERLINK("http://www.amiga-paradise.com/mp3", "http://www.amiga-paradise.com/mp3")</f>
        <v>http://www.amiga-paradise.com/mp3</v>
      </c>
      <c r="B116" t="s">
        <v>5</v>
      </c>
      <c r="C116" t="str">
        <f>HYPERLINK("https://www.reddit.com/r/opendirectories/comments/hxe21u", "The sound of crime when you don't have any money 😎")</f>
        <v>The sound of crime when you don't have any money 😎</v>
      </c>
      <c r="D116" t="s">
        <v>482</v>
      </c>
    </row>
    <row r="117" spans="1:5" x14ac:dyDescent="0.2">
      <c r="A117" t="str">
        <f>HYPERLINK("https://www.mitsu-freunde-bw.de/gallery/pics", "https://www.mitsu-freunde-bw.de/gallery/pics")</f>
        <v>https://www.mitsu-freunde-bw.de/gallery/pics</v>
      </c>
      <c r="B117" t="s">
        <v>5</v>
      </c>
      <c r="C117" t="str">
        <f>HYPERLINK("https://www.reddit.com/r/opendirectories/comments/huxoz3", "FLAC files of Erich Kunzel's music")</f>
        <v>FLAC files of Erich Kunzel's music</v>
      </c>
      <c r="D117" t="s">
        <v>483</v>
      </c>
    </row>
    <row r="118" spans="1:5" x14ac:dyDescent="0.2">
      <c r="A118" t="str">
        <f>HYPERLINK("http://www.unrec.com/mixes", "http://www.unrec.com/mixes")</f>
        <v>http://www.unrec.com/mixes</v>
      </c>
      <c r="B118" t="s">
        <v>5</v>
      </c>
      <c r="C118" t="str">
        <f>HYPERLINK("https://www.reddit.com/r/opendirectories/comments/hqtvp7", "Electronic music mixes")</f>
        <v>Electronic music mixes</v>
      </c>
      <c r="D118" t="s">
        <v>484</v>
      </c>
    </row>
    <row r="119" spans="1:5" x14ac:dyDescent="0.2">
      <c r="A119" t="str">
        <f>HYPERLINK("http://www.djhermix.com/mix", "http://www.djhermix.com/mix")</f>
        <v>http://www.djhermix.com/mix</v>
      </c>
      <c r="B119" t="s">
        <v>5</v>
      </c>
      <c r="C119" t="str">
        <f>HYPERLINK("https://www.reddit.com/r/opendirectories/comments/hqttda", "Techno music mix")</f>
        <v>Techno music mix</v>
      </c>
      <c r="D119" t="s">
        <v>484</v>
      </c>
    </row>
    <row r="120" spans="1:5" x14ac:dyDescent="0.2">
      <c r="A120" t="str">
        <f>HYPERLINK("http://www.eduo.info/wp-content/uploads", "http://www.eduo.info/wp-content/uploads")</f>
        <v>http://www.eduo.info/wp-content/uploads</v>
      </c>
      <c r="B120" t="s">
        <v>5</v>
      </c>
      <c r="C120" t="str">
        <f>HYPERLINK("https://www.reddit.com/r/opendirectories/comments/hq6hda", "Watchmen Comics 1-12")</f>
        <v>Watchmen Comics 1-12</v>
      </c>
      <c r="D120" t="s">
        <v>485</v>
      </c>
    </row>
    <row r="121" spans="1:5" x14ac:dyDescent="0.2">
      <c r="A121" t="str">
        <f>HYPERLINK("http://dl2.film2serial.ir", "http://dl2.film2serial.ir")</f>
        <v>http://dl2.film2serial.ir</v>
      </c>
      <c r="B121" t="s">
        <v>5</v>
      </c>
      <c r="C121" t="str">
        <f>HYPERLINK("https://www.reddit.com/r/opendirectories/comments/g1om52", "new a lot of movies")</f>
        <v>new a lot of movies</v>
      </c>
      <c r="D121" t="s">
        <v>405</v>
      </c>
      <c r="E121" t="s">
        <v>14</v>
      </c>
    </row>
    <row r="122" spans="1:5" x14ac:dyDescent="0.2">
      <c r="A122" t="str">
        <f>HYPERLINK("http://5.135.162.62", "http://5.135.162.62")</f>
        <v>http://5.135.162.62</v>
      </c>
      <c r="B122" t="s">
        <v>5</v>
      </c>
      <c r="C122" t="str">
        <f>HYPERLINK("https://www.reddit.com/r/opendirectories/comments/bi7hi3", "sunday funday with moving images #💯")</f>
        <v>sunday funday with moving images #💯</v>
      </c>
      <c r="D122" t="s">
        <v>132</v>
      </c>
    </row>
    <row r="123" spans="1:5" x14ac:dyDescent="0.2">
      <c r="A123" t="str">
        <f>HYPERLINK("https://doc.downloadha.com", "https://doc.downloadha.com")</f>
        <v>https://doc.downloadha.com</v>
      </c>
      <c r="B123" t="s">
        <v>5</v>
      </c>
      <c r="C123" t="str">
        <f>HYPERLINK("https://www.reddit.com/r/opendirectories/comments/d5e6ka", "Lots of Documentaries, BBC, Nature, MvGroup etc.")</f>
        <v>Lots of Documentaries, BBC, Nature, MvGroup etc.</v>
      </c>
      <c r="D123" t="s">
        <v>407</v>
      </c>
    </row>
    <row r="124" spans="1:5" x14ac:dyDescent="0.2">
      <c r="A124" t="str">
        <f>HYPERLINK("http://www.shmygelskyy.name", "http://www.shmygelskyy.name")</f>
        <v>http://www.shmygelskyy.name</v>
      </c>
      <c r="B124" t="s">
        <v>5</v>
      </c>
      <c r="C124" t="str">
        <f>HYPERLINK("https://www.reddit.com/r/opendirectories/comments/fpwn1t", "Index of Movies,mostly bluray.")</f>
        <v>Index of Movies,mostly bluray.</v>
      </c>
      <c r="D124" t="s">
        <v>318</v>
      </c>
      <c r="E124" t="s">
        <v>14</v>
      </c>
    </row>
    <row r="125" spans="1:5" x14ac:dyDescent="0.2">
      <c r="A125" t="str">
        <f>HYPERLINK("http://54.39.100.236", "http://54.39.100.236")</f>
        <v>http://54.39.100.236</v>
      </c>
      <c r="B125" t="s">
        <v>5</v>
      </c>
      <c r="C125" t="str">
        <f>HYPERLINK("https://www.reddit.com/r/opendirectories/comments/fjmgp0", "Whole bunch of movies and stuff")</f>
        <v>Whole bunch of movies and stuff</v>
      </c>
      <c r="D125" t="s">
        <v>319</v>
      </c>
      <c r="E125" t="s">
        <v>14</v>
      </c>
    </row>
    <row r="126" spans="1:5" x14ac:dyDescent="0.2">
      <c r="A126" t="str">
        <f>HYPERLINK("http://93.188.164.219/audio", "http://93.188.164.219/audio")</f>
        <v>http://93.188.164.219/audio</v>
      </c>
      <c r="B126" t="s">
        <v>5</v>
      </c>
      <c r="C126" t="str">
        <f>HYPERLINK("https://www.reddit.com/r/opendirectories/comments/exoxd6", "more music")</f>
        <v>more music</v>
      </c>
      <c r="D126" t="s">
        <v>486</v>
      </c>
    </row>
    <row r="127" spans="1:5" x14ac:dyDescent="0.2">
      <c r="A127" t="str">
        <f>HYPERLINK("http://share.animeunderground.es", "http://share.animeunderground.es")</f>
        <v>http://share.animeunderground.es</v>
      </c>
      <c r="B127" t="s">
        <v>5</v>
      </c>
      <c r="C127" t="str">
        <f>HYPERLINK("https://www.reddit.com/r/opendirectories/comments/e7oi4u", "Anime - Spanish Subs/JP Audio")</f>
        <v>Anime - Spanish Subs/JP Audio</v>
      </c>
      <c r="D127" t="s">
        <v>413</v>
      </c>
      <c r="E127" t="s">
        <v>377</v>
      </c>
    </row>
    <row r="128" spans="1:5" x14ac:dyDescent="0.2">
      <c r="A128" t="str">
        <f>HYPERLINK("https://modland.ziphoid.com", "https://modland.ziphoid.com")</f>
        <v>https://modland.ziphoid.com</v>
      </c>
      <c r="B128" t="s">
        <v>5</v>
      </c>
      <c r="C128" t="str">
        <f>HYPERLINK("https://www.reddit.com/r/opendirectories/comments/dzq5d0", "Dreamcast Game sound file rips")</f>
        <v>Dreamcast Game sound file rips</v>
      </c>
      <c r="D128" t="s">
        <v>105</v>
      </c>
    </row>
    <row r="129" spans="1:5" x14ac:dyDescent="0.2">
      <c r="A129" t="str">
        <f>HYPERLINK("http://teknopia.net/new_uploads", "http://teknopia.net/new_uploads")</f>
        <v>http://teknopia.net/new_uploads</v>
      </c>
      <c r="B129" t="s">
        <v>5</v>
      </c>
      <c r="C129" t="str">
        <f>HYPERLINK("https://www.reddit.com/r/opendirectories/comments/bnqm1l", "Daft Punk (several sources)")</f>
        <v>Daft Punk (several sources)</v>
      </c>
      <c r="D129" t="s">
        <v>487</v>
      </c>
    </row>
    <row r="130" spans="1:5" x14ac:dyDescent="0.2">
      <c r="A130" t="str">
        <f>HYPERLINK("http://freeclassicaudiobooks.com/audiobooks/authors", "http://freeclassicaudiobooks.com/audiobooks/authors")</f>
        <v>http://freeclassicaudiobooks.com/audiobooks/authors</v>
      </c>
      <c r="B130" t="s">
        <v>5</v>
      </c>
      <c r="C130" t="str">
        <f>HYPERLINK("https://www.reddit.com/r/opendirectories/comments/db2mfx", "Various audio books. Mostly older stuff")</f>
        <v>Various audio books. Mostly older stuff</v>
      </c>
      <c r="D130" t="s">
        <v>488</v>
      </c>
    </row>
    <row r="131" spans="1:5" x14ac:dyDescent="0.2">
      <c r="A131" t="str">
        <f>HYPERLINK("https://ftp.sunet.se", "https://ftp.sunet.se")</f>
        <v>https://ftp.sunet.se</v>
      </c>
      <c r="B131" t="s">
        <v>5</v>
      </c>
      <c r="C131" t="str">
        <f>HYPERLINK("https://www.reddit.com/r/opendirectories/comments/ak1xka", "Swedish Umea University ACC Club Directory. Has files going back to 94, games, classic anime, books, etc.")</f>
        <v>Swedish Umea University ACC Club Directory. Has files going back to 94, games, classic anime, books, etc.</v>
      </c>
      <c r="D131" t="s">
        <v>414</v>
      </c>
    </row>
    <row r="132" spans="1:5" x14ac:dyDescent="0.2">
      <c r="A132" t="str">
        <f>HYPERLINK("https://www.hk-soft.net", "https://www.hk-soft.net")</f>
        <v>https://www.hk-soft.net</v>
      </c>
      <c r="B132" t="s">
        <v>5</v>
      </c>
      <c r="C132" t="str">
        <f>HYPERLINK("https://www.reddit.com/r/opendirectories/comments/d916gk", "SMEG")</f>
        <v>SMEG</v>
      </c>
      <c r="D132" t="s">
        <v>489</v>
      </c>
    </row>
    <row r="133" spans="1:5" x14ac:dyDescent="0.2">
      <c r="A133" t="str">
        <f>HYPERLINK("http://tenshi.spb.ru/anime-ost", "http://tenshi.spb.ru/anime-ost")</f>
        <v>http://tenshi.spb.ru/anime-ost</v>
      </c>
      <c r="B133" t="s">
        <v>5</v>
      </c>
      <c r="C133" t="str">
        <f>HYPERLINK("https://www.reddit.com/r/opendirectories/comments/8lqstv", "Anime OST (320 kbps MP3 / 800 Series / Good Speed)")</f>
        <v>Anime OST (320 kbps MP3 / 800 Series / Good Speed)</v>
      </c>
      <c r="D133" t="s">
        <v>415</v>
      </c>
    </row>
    <row r="134" spans="1:5" x14ac:dyDescent="0.2">
      <c r="A134" t="str">
        <f>HYPERLINK("http://www.crypthome.com/members/mike/MP3", "http://www.crypthome.com/members/mike/MP3")</f>
        <v>http://www.crypthome.com/members/mike/MP3</v>
      </c>
      <c r="B134" t="s">
        <v>5</v>
      </c>
      <c r="C134" t="str">
        <f>HYPERLINK("https://www.reddit.com/r/opendirectories/comments/c2ppq9", "Small MP3 directory, misc songs - Van Halen, ELO, Black Sabbath, some parody")</f>
        <v>Small MP3 directory, misc songs - Van Halen, ELO, Black Sabbath, some parody</v>
      </c>
      <c r="D134" t="s">
        <v>490</v>
      </c>
    </row>
    <row r="135" spans="1:5" x14ac:dyDescent="0.2">
      <c r="A135" t="str">
        <f>HYPERLINK("http://54.36.110.144/media/big2/00:1A:79:2F:5B:48", "http://54.36.110.144/media/big2/00:1A:79:2F:5B:48")</f>
        <v>http://54.36.110.144/media/big2/00:1A:79:2F:5B:48</v>
      </c>
      <c r="B135" t="s">
        <v>5</v>
      </c>
      <c r="C135" t="str">
        <f>HYPERLINK("https://www.reddit.com/r/opendirectories/comments/bzqupy", "some 50+mbps download speeds, some 10,000+ dirs with files BUT")</f>
        <v>some 50+mbps download speeds, some 10,000+ dirs with files BUT</v>
      </c>
      <c r="D135" t="s">
        <v>329</v>
      </c>
      <c r="E135" t="s">
        <v>14</v>
      </c>
    </row>
    <row r="136" spans="1:5" x14ac:dyDescent="0.2">
      <c r="A136" t="str">
        <f>HYPERLINK("http://54.36.110.144/media/big2/00:1A:79:2F:78:C9", "http://54.36.110.144/media/big2/00:1A:79:2F:78:C9")</f>
        <v>http://54.36.110.144/media/big2/00:1A:79:2F:78:C9</v>
      </c>
      <c r="B136" t="s">
        <v>5</v>
      </c>
      <c r="C136" t="str">
        <f>HYPERLINK("https://www.reddit.com/r/opendirectories/comments/bzqupy", "some 50+mbps download speeds, some 10,000+ dirs with files BUT")</f>
        <v>some 50+mbps download speeds, some 10,000+ dirs with files BUT</v>
      </c>
      <c r="D136" t="s">
        <v>329</v>
      </c>
      <c r="E136" t="s">
        <v>14</v>
      </c>
    </row>
    <row r="137" spans="1:5" x14ac:dyDescent="0.2">
      <c r="A137" t="str">
        <f>HYPERLINK("http://media.discodevils.com/mixes", "http://media.discodevils.com/mixes")</f>
        <v>http://media.discodevils.com/mixes</v>
      </c>
      <c r="B137" t="s">
        <v>5</v>
      </c>
      <c r="C137" t="str">
        <f>HYPERLINK("https://www.reddit.com/r/opendirectories/comments/bx7lv4", "Disco Devils Mixes [MP3/ZIP]")</f>
        <v>Disco Devils Mixes [MP3/ZIP]</v>
      </c>
      <c r="D137" t="s">
        <v>273</v>
      </c>
    </row>
    <row r="138" spans="1:5" x14ac:dyDescent="0.2">
      <c r="A138" t="str">
        <f>HYPERLINK("http://www.djel.net/music", "http://www.djel.net/music")</f>
        <v>http://www.djel.net/music</v>
      </c>
      <c r="B138" t="s">
        <v>5</v>
      </c>
      <c r="C138" t="str">
        <f>HYPERLINK("https://www.reddit.com/r/opendirectories/comments/brqv2m", "bunch of techno livesets and mixes")</f>
        <v>bunch of techno livesets and mixes</v>
      </c>
      <c r="D138" t="s">
        <v>491</v>
      </c>
    </row>
    <row r="139" spans="1:5" x14ac:dyDescent="0.2">
      <c r="A139" t="str">
        <f>HYPERLINK("https://www.alcatron.net/dl", "https://www.alcatron.net/dl")</f>
        <v>https://www.alcatron.net/dl</v>
      </c>
      <c r="B139" t="s">
        <v>5</v>
      </c>
      <c r="C139" t="str">
        <f>HYPERLINK("https://www.reddit.com/r/opendirectories/comments/brqv2m", "bunch of techno livesets and mixes")</f>
        <v>bunch of techno livesets and mixes</v>
      </c>
      <c r="D139" t="s">
        <v>491</v>
      </c>
    </row>
    <row r="140" spans="1:5" x14ac:dyDescent="0.2">
      <c r="A140" t="str">
        <f>HYPERLINK("http://www.dj-warlock.com/mixes", "http://www.dj-warlock.com/mixes")</f>
        <v>http://www.dj-warlock.com/mixes</v>
      </c>
      <c r="B140" t="s">
        <v>5</v>
      </c>
      <c r="C140" t="str">
        <f>HYPERLINK("https://www.reddit.com/r/opendirectories/comments/brqv2m", "bunch of techno livesets and mixes")</f>
        <v>bunch of techno livesets and mixes</v>
      </c>
      <c r="D140" t="s">
        <v>491</v>
      </c>
    </row>
    <row r="141" spans="1:5" x14ac:dyDescent="0.2">
      <c r="A141" t="str">
        <f>HYPERLINK("http://respectdrumandbass.com/livesets", "http://respectdrumandbass.com/livesets")</f>
        <v>http://respectdrumandbass.com/livesets</v>
      </c>
      <c r="B141" t="s">
        <v>5</v>
      </c>
      <c r="C141" t="str">
        <f>HYPERLINK("https://www.reddit.com/r/opendirectories/comments/aud8yi", "Was looking for a specific open directory, found some interesting ones on the way/")</f>
        <v>Was looking for a specific open directory, found some interesting ones on the way/</v>
      </c>
      <c r="D141" t="s">
        <v>138</v>
      </c>
      <c r="E141" t="s">
        <v>14</v>
      </c>
    </row>
    <row r="142" spans="1:5" x14ac:dyDescent="0.2">
      <c r="A142" t="str">
        <f>HYPERLINK("http://tempsoundsolutions.arnoldascher.com/mp3", "http://tempsoundsolutions.arnoldascher.com/mp3")</f>
        <v>http://tempsoundsolutions.arnoldascher.com/mp3</v>
      </c>
      <c r="B142" t="s">
        <v>5</v>
      </c>
      <c r="C142" t="str">
        <f>HYPERLINK("https://www.reddit.com/r/opendirectories/comments/brqv2m", "bunch of techno livesets and mixes")</f>
        <v>bunch of techno livesets and mixes</v>
      </c>
      <c r="D142" t="s">
        <v>491</v>
      </c>
    </row>
    <row r="143" spans="1:5" x14ac:dyDescent="0.2">
      <c r="A143" t="str">
        <f>HYPERLINK("http://musicalmoments.persiangig.com", "http://musicalmoments.persiangig.com")</f>
        <v>http://musicalmoments.persiangig.com</v>
      </c>
      <c r="B143" t="s">
        <v>5</v>
      </c>
      <c r="C143" t="str">
        <f>HYPERLINK("https://www.reddit.com/r/opendirectories/comments/bnqm1l", "Daft Punk (several sources)")</f>
        <v>Daft Punk (several sources)</v>
      </c>
      <c r="D143" t="s">
        <v>487</v>
      </c>
    </row>
    <row r="144" spans="1:5" x14ac:dyDescent="0.2">
      <c r="A144" t="str">
        <f>HYPERLINK("http://www.training.healthyshopping.club/Personal%20Growth", "http://www.training.healthyshopping.club/Personal%20Growth")</f>
        <v>http://www.training.healthyshopping.club/Personal%20Growth</v>
      </c>
      <c r="B144" t="s">
        <v>5</v>
      </c>
      <c r="C144" t="str">
        <f>HYPERLINK("https://www.reddit.com/r/opendirectories/comments/bie9x0", "Personal growth Videos and Audio")</f>
        <v>Personal growth Videos and Audio</v>
      </c>
      <c r="D144" t="s">
        <v>132</v>
      </c>
    </row>
    <row r="145" spans="1:4" x14ac:dyDescent="0.2">
      <c r="A145" t="str">
        <f>HYPERLINK("http://baseshare.com/uploads/songs", "http://baseshare.com/uploads/songs")</f>
        <v>http://baseshare.com/uploads/songs</v>
      </c>
      <c r="B145" t="s">
        <v>5</v>
      </c>
      <c r="C145" t="str">
        <f>HYPERLINK("https://www.reddit.com/r/opendirectories/comments/b1g2uj", "dig if bored -- literally unsorted,mostly, mp3 'n such")</f>
        <v>dig if bored -- literally unsorted,mostly, mp3 'n such</v>
      </c>
      <c r="D145" t="s">
        <v>332</v>
      </c>
    </row>
    <row r="146" spans="1:4" x14ac:dyDescent="0.2">
      <c r="A146" t="str">
        <f>HYPERLINK("http://aircredits.net/thi/mixtapes", "http://aircredits.net/thi/mixtapes")</f>
        <v>http://aircredits.net/thi/mixtapes</v>
      </c>
      <c r="B146" t="s">
        <v>5</v>
      </c>
      <c r="C146" t="str">
        <f>HYPERLINK("https://www.reddit.com/r/opendirectories/comments/8ykemt", "The Hood Internet - Mashup Mixtapes")</f>
        <v>The Hood Internet - Mashup Mixtapes</v>
      </c>
      <c r="D146" t="s">
        <v>165</v>
      </c>
    </row>
    <row r="147" spans="1:4" x14ac:dyDescent="0.2">
      <c r="A147" t="str">
        <f>HYPERLINK("http://www.charlieglaize.com/downloads", "http://www.charlieglaize.com/downloads")</f>
        <v>http://www.charlieglaize.com/downloads</v>
      </c>
      <c r="B147" t="s">
        <v>5</v>
      </c>
      <c r="C147" t="str">
        <f>HYPERLINK("https://www.reddit.com/r/opendirectories/comments/axylkl", "A bunch random stuff")</f>
        <v>A bunch random stuff</v>
      </c>
      <c r="D147" t="s">
        <v>492</v>
      </c>
    </row>
    <row r="148" spans="1:4" x14ac:dyDescent="0.2">
      <c r="A148" t="str">
        <f>HYPERLINK("http://www.daveross.com/audio", "http://www.daveross.com/audio")</f>
        <v>http://www.daveross.com/audio</v>
      </c>
      <c r="B148" t="s">
        <v>5</v>
      </c>
      <c r="C148" t="str">
        <f>HYPERLINK("https://www.reddit.com/r/opendirectories/comments/aucuzv", "I started scrolling, and there is just SOOO many audio files.")</f>
        <v>I started scrolling, and there is just SOOO many audio files.</v>
      </c>
      <c r="D148" t="s">
        <v>138</v>
      </c>
    </row>
    <row r="149" spans="1:4" x14ac:dyDescent="0.2">
      <c r="A149" t="str">
        <f>HYPERLINK("https://b.goeswhere.com", "https://b.goeswhere.com")</f>
        <v>https://b.goeswhere.com</v>
      </c>
      <c r="B149" t="s">
        <v>5</v>
      </c>
      <c r="C149" t="str">
        <f t="shared" ref="C149:C175" si="6">HYPERLINK("https://www.reddit.com/r/opendirectories/comments/ape43b", "list of RE-POST's")</f>
        <v>list of RE-POST's</v>
      </c>
      <c r="D149" t="s">
        <v>396</v>
      </c>
    </row>
    <row r="150" spans="1:4" x14ac:dyDescent="0.2">
      <c r="A150" t="str">
        <f>HYPERLINK("https://blackstarkodi.com", "https://blackstarkodi.com")</f>
        <v>https://blackstarkodi.com</v>
      </c>
      <c r="B150" t="s">
        <v>5</v>
      </c>
      <c r="C150" t="str">
        <f t="shared" si="6"/>
        <v>list of RE-POST's</v>
      </c>
      <c r="D150" t="s">
        <v>396</v>
      </c>
    </row>
    <row r="151" spans="1:4" x14ac:dyDescent="0.2">
      <c r="A151" t="str">
        <f>HYPERLINK("https://cache.csrulez.ru", "https://cache.csrulez.ru")</f>
        <v>https://cache.csrulez.ru</v>
      </c>
      <c r="B151" t="s">
        <v>5</v>
      </c>
      <c r="C151" t="str">
        <f t="shared" si="6"/>
        <v>list of RE-POST's</v>
      </c>
      <c r="D151" t="s">
        <v>396</v>
      </c>
    </row>
    <row r="152" spans="1:4" x14ac:dyDescent="0.2">
      <c r="A152" t="str">
        <f>HYPERLINK("https://ch0c.com", "https://ch0c.com")</f>
        <v>https://ch0c.com</v>
      </c>
      <c r="B152" t="s">
        <v>5</v>
      </c>
      <c r="C152" t="str">
        <f t="shared" si="6"/>
        <v>list of RE-POST's</v>
      </c>
      <c r="D152" t="s">
        <v>396</v>
      </c>
    </row>
    <row r="153" spans="1:4" x14ac:dyDescent="0.2">
      <c r="A153" t="str">
        <f>HYPERLINK("https://cyberside.net.ee", "https://cyberside.net.ee")</f>
        <v>https://cyberside.net.ee</v>
      </c>
      <c r="B153" t="s">
        <v>5</v>
      </c>
      <c r="C153" t="str">
        <f t="shared" si="6"/>
        <v>list of RE-POST's</v>
      </c>
      <c r="D153" t="s">
        <v>396</v>
      </c>
    </row>
    <row r="154" spans="1:4" x14ac:dyDescent="0.2">
      <c r="A154" t="str">
        <f>HYPERLINK("https://dl.par30dl.com", "https://dl.par30dl.com")</f>
        <v>https://dl.par30dl.com</v>
      </c>
      <c r="B154" t="s">
        <v>5</v>
      </c>
      <c r="C154" t="str">
        <f t="shared" si="6"/>
        <v>list of RE-POST's</v>
      </c>
      <c r="D154" t="s">
        <v>396</v>
      </c>
    </row>
    <row r="155" spans="1:4" x14ac:dyDescent="0.2">
      <c r="A155" t="str">
        <f>HYPERLINK("https://download.nextcloud.com", "https://download.nextcloud.com")</f>
        <v>https://download.nextcloud.com</v>
      </c>
      <c r="B155" t="s">
        <v>5</v>
      </c>
      <c r="C155" t="str">
        <f t="shared" si="6"/>
        <v>list of RE-POST's</v>
      </c>
      <c r="D155" t="s">
        <v>396</v>
      </c>
    </row>
    <row r="156" spans="1:4" x14ac:dyDescent="0.2">
      <c r="A156" t="str">
        <f>HYPERLINK("https://download.videolan.org", "https://download.videolan.org")</f>
        <v>https://download.videolan.org</v>
      </c>
      <c r="B156" t="s">
        <v>5</v>
      </c>
      <c r="C156" t="str">
        <f t="shared" si="6"/>
        <v>list of RE-POST's</v>
      </c>
      <c r="D156" t="s">
        <v>396</v>
      </c>
    </row>
    <row r="157" spans="1:4" x14ac:dyDescent="0.2">
      <c r="A157" t="str">
        <f>HYPERLINK("https://ftp.belnet.be", "https://ftp.belnet.be")</f>
        <v>https://ftp.belnet.be</v>
      </c>
      <c r="B157" t="s">
        <v>5</v>
      </c>
      <c r="C157" t="str">
        <f t="shared" si="6"/>
        <v>list of RE-POST's</v>
      </c>
      <c r="D157" t="s">
        <v>396</v>
      </c>
    </row>
    <row r="158" spans="1:4" x14ac:dyDescent="0.2">
      <c r="A158" t="str">
        <f>HYPERLINK("https://ftp.dlink.ru", "https://ftp.dlink.ru")</f>
        <v>https://ftp.dlink.ru</v>
      </c>
      <c r="B158" t="s">
        <v>5</v>
      </c>
      <c r="C158" t="str">
        <f t="shared" si="6"/>
        <v>list of RE-POST's</v>
      </c>
      <c r="D158" t="s">
        <v>396</v>
      </c>
    </row>
    <row r="159" spans="1:4" x14ac:dyDescent="0.2">
      <c r="A159" t="str">
        <f>HYPERLINK("https://ftp.funet.fi", "https://ftp.funet.fi")</f>
        <v>https://ftp.funet.fi</v>
      </c>
      <c r="B159" t="s">
        <v>5</v>
      </c>
      <c r="C159" t="str">
        <f t="shared" si="6"/>
        <v>list of RE-POST's</v>
      </c>
      <c r="D159" t="s">
        <v>396</v>
      </c>
    </row>
    <row r="160" spans="1:4" x14ac:dyDescent="0.2">
      <c r="A160" t="str">
        <f>HYPERLINK("https://ftp.gnome.org", "https://ftp.gnome.org")</f>
        <v>https://ftp.gnome.org</v>
      </c>
      <c r="B160" t="s">
        <v>5</v>
      </c>
      <c r="C160" t="str">
        <f t="shared" si="6"/>
        <v>list of RE-POST's</v>
      </c>
      <c r="D160" t="s">
        <v>396</v>
      </c>
    </row>
    <row r="161" spans="1:5" x14ac:dyDescent="0.2">
      <c r="A161" t="str">
        <f>HYPERLINK("https://galactic.to", "https://galactic.to")</f>
        <v>https://galactic.to</v>
      </c>
      <c r="B161" t="s">
        <v>5</v>
      </c>
      <c r="C161" t="str">
        <f t="shared" si="6"/>
        <v>list of RE-POST's</v>
      </c>
      <c r="D161" t="s">
        <v>396</v>
      </c>
    </row>
    <row r="162" spans="1:5" x14ac:dyDescent="0.2">
      <c r="A162" t="str">
        <f>HYPERLINK("https://gmsh.info", "https://gmsh.info")</f>
        <v>https://gmsh.info</v>
      </c>
      <c r="B162" t="s">
        <v>5</v>
      </c>
      <c r="C162" t="str">
        <f t="shared" si="6"/>
        <v>list of RE-POST's</v>
      </c>
      <c r="D162" t="s">
        <v>396</v>
      </c>
    </row>
    <row r="163" spans="1:5" x14ac:dyDescent="0.2">
      <c r="A163" t="str">
        <f>HYPERLINK("https://img.cs.montana.edu", "https://img.cs.montana.edu")</f>
        <v>https://img.cs.montana.edu</v>
      </c>
      <c r="B163" t="s">
        <v>5</v>
      </c>
      <c r="C163" t="str">
        <f t="shared" si="6"/>
        <v>list of RE-POST's</v>
      </c>
      <c r="D163" t="s">
        <v>396</v>
      </c>
    </row>
    <row r="164" spans="1:5" x14ac:dyDescent="0.2">
      <c r="A164" t="str">
        <f>HYPERLINK("https://incoherency.co.uk", "https://incoherency.co.uk")</f>
        <v>https://incoherency.co.uk</v>
      </c>
      <c r="B164" t="s">
        <v>5</v>
      </c>
      <c r="C164" t="str">
        <f t="shared" si="6"/>
        <v>list of RE-POST's</v>
      </c>
      <c r="D164" t="s">
        <v>396</v>
      </c>
    </row>
    <row r="165" spans="1:5" x14ac:dyDescent="0.2">
      <c r="A165" t="str">
        <f>HYPERLINK("https://legacymediastreams.com", "https://legacymediastreams.com")</f>
        <v>https://legacymediastreams.com</v>
      </c>
      <c r="B165" t="s">
        <v>5</v>
      </c>
      <c r="C165" t="str">
        <f t="shared" si="6"/>
        <v>list of RE-POST's</v>
      </c>
      <c r="D165" t="s">
        <v>396</v>
      </c>
    </row>
    <row r="166" spans="1:5" x14ac:dyDescent="0.2">
      <c r="A166" t="str">
        <f>HYPERLINK("https://media.xiph.org", "https://media.xiph.org")</f>
        <v>https://media.xiph.org</v>
      </c>
      <c r="B166" t="s">
        <v>5</v>
      </c>
      <c r="C166" t="str">
        <f t="shared" si="6"/>
        <v>list of RE-POST's</v>
      </c>
      <c r="D166" t="s">
        <v>396</v>
      </c>
    </row>
    <row r="167" spans="1:5" x14ac:dyDescent="0.2">
      <c r="A167" t="str">
        <f>HYPERLINK("https://modland.com", "https://modland.com")</f>
        <v>https://modland.com</v>
      </c>
      <c r="B167" t="s">
        <v>5</v>
      </c>
      <c r="C167" t="str">
        <f t="shared" si="6"/>
        <v>list of RE-POST's</v>
      </c>
      <c r="D167" t="s">
        <v>396</v>
      </c>
    </row>
    <row r="168" spans="1:5" x14ac:dyDescent="0.2">
      <c r="A168" t="str">
        <f>HYPERLINK("https://pics.yougave.me", "https://pics.yougave.me")</f>
        <v>https://pics.yougave.me</v>
      </c>
      <c r="B168" t="s">
        <v>5</v>
      </c>
      <c r="C168" t="str">
        <f t="shared" si="6"/>
        <v>list of RE-POST's</v>
      </c>
      <c r="D168" t="s">
        <v>396</v>
      </c>
    </row>
    <row r="169" spans="1:5" x14ac:dyDescent="0.2">
      <c r="A169" t="str">
        <f>HYPERLINK("https://repo.steampowered.com", "https://repo.steampowered.com")</f>
        <v>https://repo.steampowered.com</v>
      </c>
      <c r="B169" t="s">
        <v>5</v>
      </c>
      <c r="C169" t="str">
        <f t="shared" si="6"/>
        <v>list of RE-POST's</v>
      </c>
      <c r="D169" t="s">
        <v>396</v>
      </c>
    </row>
    <row r="170" spans="1:5" x14ac:dyDescent="0.2">
      <c r="A170" t="str">
        <f>HYPERLINK("https://rootjunkysdl.com", "https://rootjunkysdl.com")</f>
        <v>https://rootjunkysdl.com</v>
      </c>
      <c r="B170" t="s">
        <v>5</v>
      </c>
      <c r="C170" t="str">
        <f t="shared" si="6"/>
        <v>list of RE-POST's</v>
      </c>
      <c r="D170" t="s">
        <v>396</v>
      </c>
    </row>
    <row r="171" spans="1:5" x14ac:dyDescent="0.2">
      <c r="A171" t="str">
        <f>HYPERLINK("https://www.bookofthedead.ws", "https://www.bookofthedead.ws")</f>
        <v>https://www.bookofthedead.ws</v>
      </c>
      <c r="B171" t="s">
        <v>5</v>
      </c>
      <c r="C171" t="str">
        <f t="shared" si="6"/>
        <v>list of RE-POST's</v>
      </c>
      <c r="D171" t="s">
        <v>396</v>
      </c>
    </row>
    <row r="172" spans="1:5" x14ac:dyDescent="0.2">
      <c r="A172" t="str">
        <f>HYPERLINK("https://www.danielpeart.net", "https://www.danielpeart.net")</f>
        <v>https://www.danielpeart.net</v>
      </c>
      <c r="B172" t="s">
        <v>5</v>
      </c>
      <c r="C172" t="str">
        <f t="shared" si="6"/>
        <v>list of RE-POST's</v>
      </c>
      <c r="D172" t="s">
        <v>396</v>
      </c>
    </row>
    <row r="173" spans="1:5" x14ac:dyDescent="0.2">
      <c r="A173" t="str">
        <f>HYPERLINK("https://www.gamers.org", "https://www.gamers.org")</f>
        <v>https://www.gamers.org</v>
      </c>
      <c r="B173" t="s">
        <v>5</v>
      </c>
      <c r="C173" t="str">
        <f t="shared" si="6"/>
        <v>list of RE-POST's</v>
      </c>
      <c r="D173" t="s">
        <v>396</v>
      </c>
    </row>
    <row r="174" spans="1:5" x14ac:dyDescent="0.2">
      <c r="A174" t="str">
        <f>HYPERLINK("https://www.vivagamers.com", "https://www.vivagamers.com")</f>
        <v>https://www.vivagamers.com</v>
      </c>
      <c r="B174" t="s">
        <v>5</v>
      </c>
      <c r="C174" t="str">
        <f t="shared" si="6"/>
        <v>list of RE-POST's</v>
      </c>
      <c r="D174" t="s">
        <v>396</v>
      </c>
    </row>
    <row r="175" spans="1:5" x14ac:dyDescent="0.2">
      <c r="A175" t="str">
        <f>HYPERLINK("https://www.xbmcmods.com", "https://www.xbmcmods.com")</f>
        <v>https://www.xbmcmods.com</v>
      </c>
      <c r="B175" t="s">
        <v>5</v>
      </c>
      <c r="C175" t="str">
        <f t="shared" si="6"/>
        <v>list of RE-POST's</v>
      </c>
      <c r="D175" t="s">
        <v>396</v>
      </c>
    </row>
    <row r="176" spans="1:5" x14ac:dyDescent="0.2">
      <c r="A176" t="str">
        <f>HYPERLINK("http://files.duspectacle.com/mp3", "http://files.duspectacle.com/mp3")</f>
        <v>http://files.duspectacle.com/mp3</v>
      </c>
      <c r="B176" t="s">
        <v>5</v>
      </c>
      <c r="C176" t="str">
        <f>HYPERLINK("https://www.reddit.com/r/opendirectories/comments/7t9t8m", "Selection of French Tunes (MP3)")</f>
        <v>Selection of French Tunes (MP3)</v>
      </c>
      <c r="D176" t="s">
        <v>493</v>
      </c>
      <c r="E176" t="s">
        <v>51</v>
      </c>
    </row>
    <row r="177" spans="1:4" x14ac:dyDescent="0.2">
      <c r="A177" t="str">
        <f>HYPERLINK("http://t94xr.download", "http://t94xr.download")</f>
        <v>http://t94xr.download</v>
      </c>
      <c r="B177" t="s">
        <v>5</v>
      </c>
      <c r="C177" t="str">
        <f>HYPERLINK("https://www.reddit.com/r/opendirectories/comments/akw1u2", "Movies &amp;amp; Series [~2MB/s]")</f>
        <v>Movies &amp;amp; Series [~2MB/s]</v>
      </c>
      <c r="D177" t="s">
        <v>334</v>
      </c>
    </row>
    <row r="178" spans="1:4" x14ac:dyDescent="0.2">
      <c r="A178" t="str">
        <f>HYPERLINK("http://shramba.radiostudent.si/sites/default/files/posnetki", "http://shramba.radiostudent.si/sites/default/files/posnetki")</f>
        <v>http://shramba.radiostudent.si/sites/default/files/posnetki</v>
      </c>
      <c r="B178" t="s">
        <v>5</v>
      </c>
      <c r="D178" t="s">
        <v>494</v>
      </c>
    </row>
    <row r="179" spans="1:4" x14ac:dyDescent="0.2">
      <c r="A179" t="str">
        <f>HYPERLINK("http://users.du.se/~dbe", "http://users.du.se/~dbe")</f>
        <v>http://users.du.se/~dbe</v>
      </c>
      <c r="B179" t="s">
        <v>5</v>
      </c>
      <c r="C179" t="str">
        <f>HYPERLINK("https://www.reddit.com/r/opendirectories/comments/ageci0", "Star Wars episode 1 through 6 Soundtracks in .MP3")</f>
        <v>Star Wars episode 1 through 6 Soundtracks in .MP3</v>
      </c>
      <c r="D179" t="s">
        <v>420</v>
      </c>
    </row>
    <row r="180" spans="1:4" x14ac:dyDescent="0.2">
      <c r="A180" t="str">
        <f>HYPERLINK("http://sprott.physics.wisc.edu/wop", "http://sprott.physics.wisc.edu/wop")</f>
        <v>http://sprott.physics.wisc.edu/wop</v>
      </c>
      <c r="B180" t="s">
        <v>5</v>
      </c>
      <c r="C180" t="str">
        <f>HYPERLINK("https://www.reddit.com/r/opendirectories/comments/aexo4h", "Over 100 more .WAV sound samples, wizard of oz samples, animal sounds, star trek phaser, lightsaber sound, and more!")</f>
        <v>Over 100 more .WAV sound samples, wizard of oz samples, animal sounds, star trek phaser, lightsaber sound, and more!</v>
      </c>
      <c r="D180" t="s">
        <v>317</v>
      </c>
    </row>
    <row r="181" spans="1:4" x14ac:dyDescent="0.2">
      <c r="A181" t="str">
        <f>HYPERLINK("http://pacsteam.org/Shareware", "http://pacsteam.org/Shareware")</f>
        <v>http://pacsteam.org/Shareware</v>
      </c>
      <c r="B181" t="s">
        <v>5</v>
      </c>
      <c r="C181" t="str">
        <f>HYPERLINK("https://www.reddit.com/r/opendirectories/comments/adymcu", "Conspiracy(Vids,Books,Audio.) Also: AudioBooks, Games, Music, Futurama (7 seasons) and more..")</f>
        <v>Conspiracy(Vids,Books,Audio.) Also: AudioBooks, Games, Music, Futurama (7 seasons) and more..</v>
      </c>
      <c r="D181" t="s">
        <v>338</v>
      </c>
    </row>
    <row r="182" spans="1:4" x14ac:dyDescent="0.2">
      <c r="A182" t="str">
        <f>HYPERLINK("http://samples.mplayerhq.hu", "http://samples.mplayerhq.hu")</f>
        <v>http://samples.mplayerhq.hu</v>
      </c>
      <c r="B182" t="s">
        <v>5</v>
      </c>
      <c r="C182" t="str">
        <f>HYPERLINK("https://www.reddit.com/r/opendirectories/comments/a11et2", "Many file samples in many audio/video formats")</f>
        <v>Many file samples in many audio/video formats</v>
      </c>
      <c r="D182" t="s">
        <v>340</v>
      </c>
    </row>
    <row r="183" spans="1:4" x14ac:dyDescent="0.2">
      <c r="A183" t="str">
        <f>HYPERLINK("http://donswaim.com/bookbeat-wiredforbooks.html", "http://donswaim.com/bookbeat-wiredforbooks.html")</f>
        <v>http://donswaim.com/bookbeat-wiredforbooks.html</v>
      </c>
      <c r="B183" t="s">
        <v>5</v>
      </c>
      <c r="C183" t="str">
        <f>HYPERLINK("https://www.reddit.com/r/opendirectories/comments/9xmbif", "mp3 encodings of hundreds of notable authors interviews by Don Swaim")</f>
        <v>mp3 encodings of hundreds of notable authors interviews by Don Swaim</v>
      </c>
      <c r="D183" t="s">
        <v>495</v>
      </c>
    </row>
    <row r="184" spans="1:4" x14ac:dyDescent="0.2">
      <c r="A184" t="str">
        <f>HYPERLINK("https://datapacket.com", "https://datapacket.com")</f>
        <v>https://datapacket.com</v>
      </c>
      <c r="B184" t="s">
        <v>5</v>
      </c>
      <c r="C184" t="str">
        <f>HYPERLINK("https://www.reddit.com/r/opendirectories/comments/92fnzh", "Revamped Fusker System - View Open Directory Images @ The-Eye")</f>
        <v>Revamped Fusker System - View Open Directory Images @ The-Eye</v>
      </c>
      <c r="D184" t="s">
        <v>161</v>
      </c>
    </row>
    <row r="185" spans="1:4" x14ac:dyDescent="0.2">
      <c r="A185" t="str">
        <f>HYPERLINK("http://www.gizard.org/goother", "http://www.gizard.org/goother")</f>
        <v>http://www.gizard.org/goother</v>
      </c>
      <c r="B185" t="s">
        <v>5</v>
      </c>
      <c r="C185" t="str">
        <f>HYPERLINK("https://www.reddit.com/r/opendirectories/comments/8knt70", "music and comedy albums (eg monty python, national lampoon)-some stuff zipped+some programs")</f>
        <v>music and comedy albums (eg monty python, national lampoon)-some stuff zipped+some programs</v>
      </c>
      <c r="D185" t="s">
        <v>496</v>
      </c>
    </row>
    <row r="186" spans="1:4" x14ac:dyDescent="0.2">
      <c r="A186" t="str">
        <f>HYPERLINK("http://people.vts.su.ac.rs/~pmiki", "http://people.vts.su.ac.rs/~pmiki")</f>
        <v>http://people.vts.su.ac.rs/~pmiki</v>
      </c>
      <c r="B186" t="s">
        <v>5</v>
      </c>
      <c r="C186" t="str">
        <f>HYPERLINK("https://www.reddit.com/r/opendirectories/comments/9sm31p", "mix few mp3, some tut/lecture/learning")</f>
        <v>mix few mp3, some tut/lecture/learning</v>
      </c>
      <c r="D186" t="s">
        <v>343</v>
      </c>
    </row>
    <row r="187" spans="1:4" x14ac:dyDescent="0.2">
      <c r="A187" t="str">
        <f>HYPERLINK("http://two66.com/mirrors/GTA-Radio-Stations", "http://two66.com/mirrors/GTA-Radio-Stations")</f>
        <v>http://two66.com/mirrors/GTA-Radio-Stations</v>
      </c>
      <c r="B187" t="s">
        <v>5</v>
      </c>
      <c r="C187" t="str">
        <f>HYPERLINK("https://www.reddit.com/r/opendirectories/comments/9d5vqx", "GTA (Vice city - 5) Radio Stations")</f>
        <v>GTA (Vice city - 5) Radio Stations</v>
      </c>
      <c r="D187" t="s">
        <v>497</v>
      </c>
    </row>
    <row r="188" spans="1:4" x14ac:dyDescent="0.2">
      <c r="A188" t="str">
        <f>HYPERLINK("http://oldgramophonerecords.co.uk/transfers", "http://oldgramophonerecords.co.uk/transfers")</f>
        <v>http://oldgramophonerecords.co.uk/transfers</v>
      </c>
      <c r="B188" t="s">
        <v>5</v>
      </c>
      <c r="C188" t="str">
        <f>HYPERLINK("https://www.reddit.com/r/opendirectories/comments/900fwc", "Old Gramophone/Cylinder/78 transferred and some restored. (MP3)")</f>
        <v>Old Gramophone/Cylinder/78 transferred and some restored. (MP3)</v>
      </c>
      <c r="D188" t="s">
        <v>163</v>
      </c>
    </row>
    <row r="189" spans="1:4" x14ac:dyDescent="0.2">
      <c r="A189" t="str">
        <f>HYPERLINK("http://lapfoxarchive.com", "http://lapfoxarchive.com")</f>
        <v>http://lapfoxarchive.com</v>
      </c>
      <c r="B189" t="s">
        <v>5</v>
      </c>
      <c r="C189" t="str">
        <f>HYPERLINK("https://www.reddit.com/r/opendirectories/comments/9006dc", "Lapfox Music Archive (MP3/FLAC)")</f>
        <v>Lapfox Music Archive (MP3/FLAC)</v>
      </c>
      <c r="D189" t="s">
        <v>163</v>
      </c>
    </row>
    <row r="190" spans="1:4" x14ac:dyDescent="0.2">
      <c r="A190" t="str">
        <f>HYPERLINK("http://hardeningco.com/coro/spartiti", "http://hardeningco.com/coro/spartiti")</f>
        <v>http://hardeningco.com/coro/spartiti</v>
      </c>
      <c r="B190" t="s">
        <v>5</v>
      </c>
      <c r="C190" t="str">
        <f>HYPERLINK("https://www.reddit.com/r/opendirectories/comments/8tv4fg", "Minions Ringtones")</f>
        <v>Minions Ringtones</v>
      </c>
      <c r="D190" t="s">
        <v>498</v>
      </c>
    </row>
    <row r="191" spans="1:4" x14ac:dyDescent="0.2">
      <c r="A191" t="str">
        <f>HYPERLINK("http://archive.cfru.ca", "http://archive.cfru.ca")</f>
        <v>http://archive.cfru.ca</v>
      </c>
      <c r="B191" t="s">
        <v>5</v>
      </c>
      <c r="C191" t="str">
        <f>HYPERLINK("https://www.reddit.com/r/opendirectories/comments/8s58gc", "CFRU 93.3 FM Radio Archives - Lots of shows including BBC News")</f>
        <v>CFRU 93.3 FM Radio Archives - Lots of shows including BBC News</v>
      </c>
      <c r="D191" t="s">
        <v>499</v>
      </c>
    </row>
    <row r="192" spans="1:4" x14ac:dyDescent="0.2">
      <c r="A192" t="str">
        <f>HYPERLINK("https://www.cpokemon.com", "https://www.cpokemon.com")</f>
        <v>https://www.cpokemon.com</v>
      </c>
      <c r="B192" t="s">
        <v>5</v>
      </c>
      <c r="C192" t="str">
        <f>HYPERLINK("https://www.reddit.com/r/opendirectories/comments/8mn6h0", "Pokemon Images-Sprites-Sounds")</f>
        <v>Pokemon Images-Sprites-Sounds</v>
      </c>
      <c r="D192" t="s">
        <v>500</v>
      </c>
    </row>
    <row r="193" spans="1:5" x14ac:dyDescent="0.2">
      <c r="A193" t="str">
        <f>HYPERLINK("http://www.metalenema.com/mp3", "http://www.metalenema.com/mp3")</f>
        <v>http://www.metalenema.com/mp3</v>
      </c>
      <c r="B193" t="s">
        <v>5</v>
      </c>
      <c r="C193" t="str">
        <f>HYPERLINK("https://www.reddit.com/r/opendirectories/comments/8gzycs", "Huge collection of heavy metal radio shows")</f>
        <v>Huge collection of heavy metal radio shows</v>
      </c>
      <c r="D193" t="s">
        <v>501</v>
      </c>
    </row>
    <row r="194" spans="1:5" x14ac:dyDescent="0.2">
      <c r="A194" t="str">
        <f>HYPERLINK("https://10gbps.io", "https://10gbps.io")</f>
        <v>https://10gbps.io</v>
      </c>
      <c r="B194" t="s">
        <v>5</v>
      </c>
      <c r="C194" t="str">
        <f>HYPERLINK("https://www.reddit.com/r/opendirectories/comments/7gs0f2", "Google Index Search Engine @ The-Eye")</f>
        <v>Google Index Search Engine @ The-Eye</v>
      </c>
      <c r="D194" t="s">
        <v>346</v>
      </c>
    </row>
    <row r="195" spans="1:5" x14ac:dyDescent="0.2">
      <c r="A195" t="str">
        <f>HYPERLINK("http://playurbanomp3.com/Discografias", "http://playurbanomp3.com/Discografias")</f>
        <v>http://playurbanomp3.com/Discografias</v>
      </c>
      <c r="B195" t="s">
        <v>5</v>
      </c>
      <c r="C195" t="str">
        <f>HYPERLINK("https://www.reddit.com/r/opendirectories/comments/7pshyq", "Spanish/Latin Music (Discographies) MP3")</f>
        <v>Spanish/Latin Music (Discographies) MP3</v>
      </c>
      <c r="D195" t="s">
        <v>502</v>
      </c>
      <c r="E195" t="s">
        <v>377</v>
      </c>
    </row>
    <row r="196" spans="1:5" x14ac:dyDescent="0.2">
      <c r="A196" t="str">
        <f>HYPERLINK("http://feck.less.ly/dreaming/songs", "http://feck.less.ly/dreaming/songs")</f>
        <v>http://feck.less.ly/dreaming/songs</v>
      </c>
      <c r="B196" t="s">
        <v>5</v>
      </c>
      <c r="C196" t="str">
        <f>HYPERLINK("https://www.reddit.com/r/opendirectories/comments/7nq7do", "[Music][MP3] Small collection with some albums")</f>
        <v>[Music][MP3] Small collection with some albums</v>
      </c>
      <c r="D196" t="s">
        <v>503</v>
      </c>
    </row>
    <row r="197" spans="1:5" x14ac:dyDescent="0.2">
      <c r="A197" t="str">
        <f>HYPERLINK("https://www.radiosega.net/content/podcasts", "https://www.radiosega.net/content/podcasts")</f>
        <v>https://www.radiosega.net/content/podcasts</v>
      </c>
      <c r="B197" t="s">
        <v>5</v>
      </c>
      <c r="C197" t="str">
        <f>HYPERLINK("https://www.reddit.com/r/opendirectories/comments/7l2l3i", "Podcasts from Radio sega")</f>
        <v>Podcasts from Radio sega</v>
      </c>
      <c r="D197" t="s">
        <v>504</v>
      </c>
    </row>
    <row r="198" spans="1:5" x14ac:dyDescent="0.2">
      <c r="A198" t="str">
        <f>HYPERLINK("http://amigamuseum.emu-france.info/Fichiers", "http://amigamuseum.emu-france.info/Fichiers")</f>
        <v>http://amigamuseum.emu-france.info/Fichiers</v>
      </c>
      <c r="B198" t="s">
        <v>5</v>
      </c>
      <c r="C198" t="str">
        <f>HYPERLINK("https://www.reddit.com/r/opendirectories/comments/7875qy", "Commodore Amiga stuff...The MP3 file is Chiptune gold!")</f>
        <v>Commodore Amiga stuff...The MP3 file is Chiptune gold!</v>
      </c>
      <c r="D198" t="s">
        <v>505</v>
      </c>
    </row>
    <row r="199" spans="1:5" x14ac:dyDescent="0.2">
      <c r="A199" t="str">
        <f>HYPERLINK("http://www.qsl.net/w/w7lk//misc%20pdf%20files", "http://www.qsl.net/w/w7lk//misc%20pdf%20files")</f>
        <v>http://www.qsl.net/w/w7lk//misc%20pdf%20files</v>
      </c>
      <c r="B199" t="s">
        <v>5</v>
      </c>
      <c r="C199" t="str">
        <f>HYPERLINK("https://www.reddit.com/r/opendirectories/comments/76rwht", "Antenna, ham radio &amp;amp; shitload of other misc how-to's in pdf")</f>
        <v>Antenna, ham radio &amp;amp; shitload of other misc how-to's in pdf</v>
      </c>
      <c r="D199" t="s">
        <v>506</v>
      </c>
    </row>
    <row r="200" spans="1:5" x14ac:dyDescent="0.2">
      <c r="A200" t="str">
        <f>HYPERLINK("http://www.alpha-ii.com/Download/Main.html", "http://www.alpha-ii.com/Download/Main.html")</f>
        <v>http://www.alpha-ii.com/Download/Main.html</v>
      </c>
      <c r="B200" t="s">
        <v>5</v>
      </c>
      <c r="C200" t="str">
        <f>HYPERLINK("https://www.reddit.com/r/opendirectories/comments/74iych", "The Chiptune/Game Music Open Directory Archive List")</f>
        <v>The Chiptune/Game Music Open Directory Archive List</v>
      </c>
      <c r="D200" t="s">
        <v>351</v>
      </c>
    </row>
    <row r="201" spans="1:5" x14ac:dyDescent="0.2">
      <c r="A201" t="str">
        <f>HYPERLINK("https://www.hcs64.com/usf", "https://www.hcs64.com/usf")</f>
        <v>https://www.hcs64.com/usf</v>
      </c>
      <c r="B201" t="s">
        <v>5</v>
      </c>
      <c r="C201" t="str">
        <f>HYPERLINK("https://www.reddit.com/r/opendirectories/comments/74iych", "The Chiptune/Game Music Open Directory Archive List")</f>
        <v>The Chiptune/Game Music Open Directory Archive List</v>
      </c>
      <c r="D201" t="s">
        <v>351</v>
      </c>
    </row>
    <row r="202" spans="1:5" x14ac:dyDescent="0.2">
      <c r="A202" t="str">
        <f>HYPERLINK("http://dump.beaugil.es", "http://dump.beaugil.es")</f>
        <v>http://dump.beaugil.es</v>
      </c>
      <c r="B202" t="s">
        <v>5</v>
      </c>
      <c r="C202" t="str">
        <f>HYPERLINK("https://www.reddit.com/r/opendirectories/comments/70qvfg", "A variety of ringtones in m4r format.")</f>
        <v>A variety of ringtones in m4r format.</v>
      </c>
      <c r="D202" t="s">
        <v>507</v>
      </c>
    </row>
    <row r="203" spans="1:5" x14ac:dyDescent="0.2">
      <c r="A203" t="str">
        <f>HYPERLINK("http://timformation.net/music", "http://timformation.net/music")</f>
        <v>http://timformation.net/music</v>
      </c>
      <c r="B203" t="s">
        <v>5</v>
      </c>
      <c r="C203" t="str">
        <f>HYPERLINK("https://www.reddit.com/r/opendirectories/comments/5ucx5f", "Like a little variety in your music? Dubstep, Disco, Rock, Country, sound effects, you name it.")</f>
        <v>Like a little variety in your music? Dubstep, Disco, Rock, Country, sound effects, you name it.</v>
      </c>
      <c r="D203" t="s">
        <v>508</v>
      </c>
    </row>
    <row r="204" spans="1:5" x14ac:dyDescent="0.2">
      <c r="A204" t="str">
        <f>HYPERLINK("http://buysound.webjedi.net", "http://buysound.webjedi.net")</f>
        <v>http://buysound.webjedi.net</v>
      </c>
      <c r="B204" t="s">
        <v>5</v>
      </c>
      <c r="C204" t="str">
        <f>HYPERLINK("https://www.reddit.com/r/opendirectories/comments/5qjkzw", "some audio files")</f>
        <v>some audio files</v>
      </c>
      <c r="D204" t="s">
        <v>509</v>
      </c>
    </row>
    <row r="205" spans="1:5" x14ac:dyDescent="0.2">
      <c r="A205" t="str">
        <f>HYPERLINK("http://www.ibiblio.org/pandora", "http://www.ibiblio.org/pandora")</f>
        <v>http://www.ibiblio.org/pandora</v>
      </c>
      <c r="B205" t="s">
        <v>5</v>
      </c>
      <c r="C205" t="str">
        <f>HYPERLINK("https://www.reddit.com/r/opendirectories/comments/53dwvo", "Mostly classical music, mp3 and vorbis")</f>
        <v>Mostly classical music, mp3 and vorbis</v>
      </c>
      <c r="D205" t="s">
        <v>510</v>
      </c>
    </row>
    <row r="206" spans="1:5" x14ac:dyDescent="0.2">
      <c r="A206" t="str">
        <f>HYPERLINK("http://tvoneoperations.com/promo", "http://tvoneoperations.com/promo")</f>
        <v>http://tvoneoperations.com/promo</v>
      </c>
      <c r="B206" t="s">
        <v>5</v>
      </c>
      <c r="C206" t="str">
        <f>HYPERLINK("https://www.reddit.com/r/opendirectories/comments/4rz0ni", "Commercials, radio spots, and misc promotional material from a TV network")</f>
        <v>Commercials, radio spots, and misc promotional material from a TV network</v>
      </c>
      <c r="D206" t="s">
        <v>456</v>
      </c>
    </row>
    <row r="207" spans="1:5" x14ac:dyDescent="0.2">
      <c r="A207" t="str">
        <f>HYPERLINK("http://federaljack.com/mindcontrol", "http://federaljack.com/mindcontrol")</f>
        <v>http://federaljack.com/mindcontrol</v>
      </c>
      <c r="B207" t="s">
        <v>5</v>
      </c>
      <c r="C207" t="str">
        <f>HYPERLINK("https://www.reddit.com/r/opendirectories/comments/4cqf65", "Videos, audio and books on.. Mind control!")</f>
        <v>Videos, audio and books on.. Mind control!</v>
      </c>
      <c r="D207" t="s">
        <v>355</v>
      </c>
    </row>
    <row r="208" spans="1:5" x14ac:dyDescent="0.2">
      <c r="A208" t="str">
        <f>HYPERLINK("http://cygwin.com", "http://cygwin.com")</f>
        <v>http://cygwin.com</v>
      </c>
      <c r="B208" t="s">
        <v>5</v>
      </c>
      <c r="C208" t="str">
        <f>HYPERLINK("https://www.reddit.com/r/opendirectories/comments/3qu7p1", "How to: Mass-downloading for beginners")</f>
        <v>How to: Mass-downloading for beginners</v>
      </c>
      <c r="D208" t="s">
        <v>511</v>
      </c>
    </row>
    <row r="209" spans="1:5" x14ac:dyDescent="0.2">
      <c r="A209" t="str">
        <f>HYPERLINK("http://ranger.befunk.com", "http://ranger.befunk.com")</f>
        <v>http://ranger.befunk.com</v>
      </c>
      <c r="B209" t="s">
        <v>5</v>
      </c>
      <c r="C209" t="str">
        <f>HYPERLINK("https://www.reddit.com/r/opendirectories/comments/3lm4gy", "/u/wearehidden's directory dump (with more organization / info)")</f>
        <v>/u/wearehidden's directory dump (with more organization / info)</v>
      </c>
      <c r="D209" t="s">
        <v>358</v>
      </c>
      <c r="E209" t="s">
        <v>359</v>
      </c>
    </row>
    <row r="210" spans="1:5" x14ac:dyDescent="0.2">
      <c r="A210" t="str">
        <f>HYPERLINK("http://chriscargile.com/music", "http://chriscargile.com/music")</f>
        <v>http://chriscargile.com/music</v>
      </c>
      <c r="B210" t="s">
        <v>5</v>
      </c>
      <c r="C210" t="str">
        <f>HYPERLINK("https://www.reddit.com/r/opendirectories/comments/3dsn9t", "Music MP3/WMA")</f>
        <v>Music MP3/WMA</v>
      </c>
      <c r="D210" t="s">
        <v>512</v>
      </c>
    </row>
    <row r="211" spans="1:5" x14ac:dyDescent="0.2">
      <c r="A211" t="str">
        <f>HYPERLINK("https://ftp.severinsson.net", "https://ftp.severinsson.net")</f>
        <v>https://ftp.severinsson.net</v>
      </c>
      <c r="B211" t="s">
        <v>5</v>
      </c>
      <c r="C211" t="str">
        <f>HYPERLINK("https://www.reddit.com/r/opendirectories/comments/30a6qq", "Music, movies, ebooks, audio books")</f>
        <v>Music, movies, ebooks, audio books</v>
      </c>
      <c r="D211" t="s">
        <v>434</v>
      </c>
    </row>
    <row r="212" spans="1:5" x14ac:dyDescent="0.2">
      <c r="A212" t="str">
        <f>HYPERLINK("http://www.defacto2.net", "http://www.defacto2.net")</f>
        <v>http://www.defacto2.net</v>
      </c>
      <c r="B212" t="s">
        <v>5</v>
      </c>
      <c r="C212" t="str">
        <f>HYPERLINK("https://www.reddit.com/r/opendirectories/comments/2ol0ts", "What are some tools to view videos/mp3/pdf files present in open directories before downloading?")</f>
        <v>What are some tools to view videos/mp3/pdf files present in open directories before downloading?</v>
      </c>
      <c r="D212" t="s">
        <v>360</v>
      </c>
      <c r="E212" t="s">
        <v>14</v>
      </c>
    </row>
    <row r="213" spans="1:5" x14ac:dyDescent="0.2">
      <c r="A213" t="str">
        <f>HYPERLINK("http://mark.cdmaforums.com/V710_Ringer", "http://mark.cdmaforums.com/V710_Ringer")</f>
        <v>http://mark.cdmaforums.com/V710_Ringer</v>
      </c>
      <c r="B213" t="s">
        <v>5</v>
      </c>
      <c r="C213" t="str">
        <f>HYPERLINK("https://www.reddit.com/r/opendirectories/comments/2nz6t1", "Coupla Ring Tones")</f>
        <v>Coupla Ring Tones</v>
      </c>
      <c r="D213" t="s">
        <v>513</v>
      </c>
    </row>
    <row r="214" spans="1:5" x14ac:dyDescent="0.2">
      <c r="A214" t="str">
        <f>HYPERLINK("http://donhodges.com/mp3", "http://donhodges.com/mp3")</f>
        <v>http://donhodges.com/mp3</v>
      </c>
      <c r="B214" t="s">
        <v>5</v>
      </c>
      <c r="C214" t="str">
        <f>HYPERLINK("https://www.reddit.com/r/opendirectories/comments/10fgvr", "Don Hodges Radio Clips: Political Soundbytes (GWB/Rumsfeld from TV/Radio), Alan Watts Lectures, and a weird soundbyte of some one calling in about a UFO")</f>
        <v>Don Hodges Radio Clips: Political Soundbytes (GWB/Rumsfeld from TV/Radio), Alan Watts Lectures, and a weird soundbyte of some one calling in about a UFO</v>
      </c>
      <c r="D214" t="s">
        <v>458</v>
      </c>
    </row>
    <row r="215" spans="1:5" x14ac:dyDescent="0.2">
      <c r="A215" t="str">
        <f>HYPERLINK("http://www.how-to-speak.com/spanish", "http://www.how-to-speak.com/spanish")</f>
        <v>http://www.how-to-speak.com/spanish</v>
      </c>
      <c r="B215" t="s">
        <v>5</v>
      </c>
      <c r="C215" t="str">
        <f>HYPERLINK("https://www.reddit.com/r/opendirectories/comments/90udb", "Informal Spanish Lessons (mp3)")</f>
        <v>Informal Spanish Lessons (mp3)</v>
      </c>
      <c r="D215" t="s">
        <v>514</v>
      </c>
      <c r="E215" t="s">
        <v>377</v>
      </c>
    </row>
  </sheetData>
  <pageMargins left="0.75" right="0.75" top="1" bottom="1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52"/>
  <sheetViews>
    <sheetView zoomScaleNormal="100" workbookViewId="0"/>
  </sheetViews>
  <sheetFormatPr baseColWidth="10" defaultColWidth="8.83203125" defaultRowHeight="15" x14ac:dyDescent="0.2"/>
  <cols>
    <col min="1" max="1" width="50" customWidth="1"/>
    <col min="3" max="3" width="80" customWidth="1"/>
    <col min="4" max="4" width="11" customWidth="1"/>
    <col min="5" max="5" width="80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tr">
        <f>HYPERLINK("http://ingar.intranifty.net", "http://ingar.intranifty.net")</f>
        <v>http://ingar.intranifty.net</v>
      </c>
      <c r="B2" t="s">
        <v>5</v>
      </c>
      <c r="C2" t="str">
        <f t="shared" ref="C2:C10" si="0">HYPERLINK("https://www.reddit.com/r/opendirectories/comments/pp71gr", "2021-09-16 Daily post")</f>
        <v>2021-09-16 Daily post</v>
      </c>
      <c r="D2" t="s">
        <v>7</v>
      </c>
    </row>
    <row r="3" spans="1:5" x14ac:dyDescent="0.2">
      <c r="A3" t="str">
        <f>HYPERLINK("http://www.huzheng.org", "http://www.huzheng.org")</f>
        <v>http://www.huzheng.org</v>
      </c>
      <c r="B3" t="s">
        <v>5</v>
      </c>
      <c r="C3" t="str">
        <f t="shared" si="0"/>
        <v>2021-09-16 Daily post</v>
      </c>
      <c r="D3" t="s">
        <v>7</v>
      </c>
    </row>
    <row r="4" spans="1:5" x14ac:dyDescent="0.2">
      <c r="A4" t="str">
        <f>HYPERLINK("http://markburgess.org/music", "http://markburgess.org/music")</f>
        <v>http://markburgess.org/music</v>
      </c>
      <c r="B4" t="s">
        <v>5</v>
      </c>
      <c r="C4" t="str">
        <f t="shared" si="0"/>
        <v>2021-09-16 Daily post</v>
      </c>
      <c r="D4" t="s">
        <v>7</v>
      </c>
    </row>
    <row r="5" spans="1:5" x14ac:dyDescent="0.2">
      <c r="A5" t="str">
        <f>HYPERLINK("https://www.backtracking-music.de/uranus", "https://www.backtracking-music.de/uranus")</f>
        <v>https://www.backtracking-music.de/uranus</v>
      </c>
      <c r="B5" t="s">
        <v>5</v>
      </c>
      <c r="C5" t="str">
        <f t="shared" si="0"/>
        <v>2021-09-16 Daily post</v>
      </c>
      <c r="D5" t="s">
        <v>7</v>
      </c>
    </row>
    <row r="6" spans="1:5" x14ac:dyDescent="0.2">
      <c r="A6" t="str">
        <f>HYPERLINK("https://musicinsideout.wwno.org/audio", "https://musicinsideout.wwno.org/audio")</f>
        <v>https://musicinsideout.wwno.org/audio</v>
      </c>
      <c r="B6" t="s">
        <v>5</v>
      </c>
      <c r="C6" t="str">
        <f t="shared" si="0"/>
        <v>2021-09-16 Daily post</v>
      </c>
      <c r="D6" t="s">
        <v>7</v>
      </c>
    </row>
    <row r="7" spans="1:5" x14ac:dyDescent="0.2">
      <c r="A7" t="str">
        <f>HYPERLINK("https://music.maxton.xyz/tracks", "https://music.maxton.xyz/tracks")</f>
        <v>https://music.maxton.xyz/tracks</v>
      </c>
      <c r="B7" t="s">
        <v>5</v>
      </c>
      <c r="C7" t="str">
        <f t="shared" si="0"/>
        <v>2021-09-16 Daily post</v>
      </c>
      <c r="D7" t="s">
        <v>7</v>
      </c>
    </row>
    <row r="8" spans="1:5" x14ac:dyDescent="0.2">
      <c r="A8" t="str">
        <f>HYPERLINK("http://scipp.ucsc.edu/~profumo/misc", "http://scipp.ucsc.edu/~profumo/misc")</f>
        <v>http://scipp.ucsc.edu/~profumo/misc</v>
      </c>
      <c r="B8" t="s">
        <v>5</v>
      </c>
      <c r="C8" t="str">
        <f t="shared" si="0"/>
        <v>2021-09-16 Daily post</v>
      </c>
      <c r="D8" t="s">
        <v>7</v>
      </c>
    </row>
    <row r="9" spans="1:5" x14ac:dyDescent="0.2">
      <c r="A9" t="str">
        <f>HYPERLINK("https://people.duke.edu/~ajk17", "https://people.duke.edu/~ajk17")</f>
        <v>https://people.duke.edu/~ajk17</v>
      </c>
      <c r="B9" t="s">
        <v>5</v>
      </c>
      <c r="C9" t="str">
        <f t="shared" si="0"/>
        <v>2021-09-16 Daily post</v>
      </c>
      <c r="D9" t="s">
        <v>7</v>
      </c>
    </row>
    <row r="10" spans="1:5" x14ac:dyDescent="0.2">
      <c r="A10" t="str">
        <f>HYPERLINK("http://socialdance.stanford.edu/music", "http://socialdance.stanford.edu/music")</f>
        <v>http://socialdance.stanford.edu/music</v>
      </c>
      <c r="B10" t="s">
        <v>5</v>
      </c>
      <c r="C10" t="str">
        <f t="shared" si="0"/>
        <v>2021-09-16 Daily post</v>
      </c>
      <c r="D10" t="s">
        <v>7</v>
      </c>
    </row>
    <row r="11" spans="1:5" x14ac:dyDescent="0.2">
      <c r="A11" t="str">
        <f>HYPERLINK("http://miya.nipah.moe:81/public", "http://miya.nipah.moe:81/public")</f>
        <v>http://miya.nipah.moe:81/public</v>
      </c>
      <c r="B11" t="s">
        <v>5</v>
      </c>
      <c r="C11" t="str">
        <f>HYPERLINK("https://www.reddit.com/r/opendirectories/comments/pnwdql", "Osu! Maps, Manga, Anime, Music and more. Small variety of JP stuff.")</f>
        <v>Osu! Maps, Manga, Anime, Music and more. Small variety of JP stuff.</v>
      </c>
      <c r="D11" t="s">
        <v>362</v>
      </c>
      <c r="E11" t="s">
        <v>63</v>
      </c>
    </row>
    <row r="12" spans="1:5" x14ac:dyDescent="0.2">
      <c r="A12" t="str">
        <f>HYPERLINK("https://www.espros.com", "https://www.espros.com")</f>
        <v>https://www.espros.com</v>
      </c>
      <c r="B12" t="s">
        <v>5</v>
      </c>
      <c r="C12" t="str">
        <f t="shared" ref="C12:C19" si="1">HYPERLINK("https://www.reddit.com/r/opendirectories/comments/pmqh90", "2021-09-12 Daily post")</f>
        <v>2021-09-12 Daily post</v>
      </c>
      <c r="D12" t="s">
        <v>459</v>
      </c>
    </row>
    <row r="13" spans="1:5" x14ac:dyDescent="0.2">
      <c r="A13" t="str">
        <f>HYPERLINK("https://www.konrow.com/download", "https://www.konrow.com/download")</f>
        <v>https://www.konrow.com/download</v>
      </c>
      <c r="B13" t="s">
        <v>5</v>
      </c>
      <c r="C13" t="str">
        <f t="shared" si="1"/>
        <v>2021-09-12 Daily post</v>
      </c>
      <c r="D13" t="s">
        <v>459</v>
      </c>
    </row>
    <row r="14" spans="1:5" x14ac:dyDescent="0.2">
      <c r="A14" t="str">
        <f>HYPERLINK("https://www.dukelearntoprogram.com/downloads", "https://www.dukelearntoprogram.com/downloads")</f>
        <v>https://www.dukelearntoprogram.com/downloads</v>
      </c>
      <c r="B14" t="s">
        <v>5</v>
      </c>
      <c r="C14" t="str">
        <f t="shared" si="1"/>
        <v>2021-09-12 Daily post</v>
      </c>
      <c r="D14" t="s">
        <v>459</v>
      </c>
    </row>
    <row r="15" spans="1:5" x14ac:dyDescent="0.2">
      <c r="A15" t="str">
        <f>HYPERLINK("https://apc.u-paris.fr/Downloads", "https://apc.u-paris.fr/Downloads")</f>
        <v>https://apc.u-paris.fr/Downloads</v>
      </c>
      <c r="B15" t="s">
        <v>5</v>
      </c>
      <c r="C15" t="str">
        <f t="shared" si="1"/>
        <v>2021-09-12 Daily post</v>
      </c>
      <c r="D15" t="s">
        <v>459</v>
      </c>
    </row>
    <row r="16" spans="1:5" x14ac:dyDescent="0.2">
      <c r="A16" t="str">
        <f>HYPERLINK("https://www.3dhistech.com/downloads", "https://www.3dhistech.com/downloads")</f>
        <v>https://www.3dhistech.com/downloads</v>
      </c>
      <c r="B16" t="s">
        <v>5</v>
      </c>
      <c r="C16" t="str">
        <f t="shared" si="1"/>
        <v>2021-09-12 Daily post</v>
      </c>
      <c r="D16" t="s">
        <v>459</v>
      </c>
    </row>
    <row r="17" spans="1:5" x14ac:dyDescent="0.2">
      <c r="A17" t="str">
        <f>HYPERLINK("http://www.tfcumc.org/music", "http://www.tfcumc.org/music")</f>
        <v>http://www.tfcumc.org/music</v>
      </c>
      <c r="B17" t="s">
        <v>5</v>
      </c>
      <c r="C17" t="str">
        <f t="shared" si="1"/>
        <v>2021-09-12 Daily post</v>
      </c>
      <c r="D17" t="s">
        <v>459</v>
      </c>
    </row>
    <row r="18" spans="1:5" x14ac:dyDescent="0.2">
      <c r="A18" t="str">
        <f>HYPERLINK("https://dalemuus.home.xs4all.nl", "https://dalemuus.home.xs4all.nl")</f>
        <v>https://dalemuus.home.xs4all.nl</v>
      </c>
      <c r="B18" t="s">
        <v>5</v>
      </c>
      <c r="C18" t="str">
        <f t="shared" si="1"/>
        <v>2021-09-12 Daily post</v>
      </c>
      <c r="D18" t="s">
        <v>459</v>
      </c>
    </row>
    <row r="19" spans="1:5" x14ac:dyDescent="0.2">
      <c r="A19" t="str">
        <f>HYPERLINK("http://www.andrelouis.com/media", "http://www.andrelouis.com/media")</f>
        <v>http://www.andrelouis.com/media</v>
      </c>
      <c r="B19" t="s">
        <v>5</v>
      </c>
      <c r="C19" t="str">
        <f t="shared" si="1"/>
        <v>2021-09-12 Daily post</v>
      </c>
      <c r="D19" t="s">
        <v>459</v>
      </c>
    </row>
    <row r="20" spans="1:5" x14ac:dyDescent="0.2">
      <c r="A20" t="str">
        <f>HYPERLINK("http://www.resistrecords.com/catalog", "http://www.resistrecords.com/catalog")</f>
        <v>http://www.resistrecords.com/catalog</v>
      </c>
      <c r="B20" t="s">
        <v>5</v>
      </c>
      <c r="C20" t="str">
        <f>HYPERLINK("https://www.reddit.com/r/opendirectories/comments/pmalwj", "Whole bunch of rare music album images")</f>
        <v>Whole bunch of rare music album images</v>
      </c>
      <c r="D20" t="s">
        <v>515</v>
      </c>
    </row>
    <row r="21" spans="1:5" x14ac:dyDescent="0.2">
      <c r="A21" t="str">
        <f>HYPERLINK("http://wateryaml.cn", "http://wateryaml.cn")</f>
        <v>http://wateryaml.cn</v>
      </c>
      <c r="B21" t="s">
        <v>5</v>
      </c>
      <c r="C21" t="str">
        <f t="shared" ref="C21:C27" si="2">HYPERLINK("https://www.reddit.com/r/opendirectories/comments/plkcmr", "2021-09-10 Daily post")</f>
        <v>2021-09-10 Daily post</v>
      </c>
      <c r="D21" t="s">
        <v>261</v>
      </c>
      <c r="E21" t="s">
        <v>61</v>
      </c>
    </row>
    <row r="22" spans="1:5" x14ac:dyDescent="0.2">
      <c r="A22" t="str">
        <f>HYPERLINK("https://rohandrape.net/rd", "https://rohandrape.net/rd")</f>
        <v>https://rohandrape.net/rd</v>
      </c>
      <c r="B22" t="s">
        <v>5</v>
      </c>
      <c r="C22" t="str">
        <f t="shared" si="2"/>
        <v>2021-09-10 Daily post</v>
      </c>
      <c r="D22" t="s">
        <v>261</v>
      </c>
      <c r="E22" t="s">
        <v>61</v>
      </c>
    </row>
    <row r="23" spans="1:5" x14ac:dyDescent="0.2">
      <c r="A23" t="str">
        <f>HYPERLINK("https://www.cs.cmu.edu/~lblum/flac/Handouts_pdf", "https://www.cs.cmu.edu/~lblum/flac/Handouts_pdf")</f>
        <v>https://www.cs.cmu.edu/~lblum/flac/Handouts_pdf</v>
      </c>
      <c r="B23" t="s">
        <v>5</v>
      </c>
      <c r="C23" t="str">
        <f t="shared" si="2"/>
        <v>2021-09-10 Daily post</v>
      </c>
      <c r="D23" t="s">
        <v>261</v>
      </c>
      <c r="E23" t="s">
        <v>61</v>
      </c>
    </row>
    <row r="24" spans="1:5" x14ac:dyDescent="0.2">
      <c r="A24" t="str">
        <f>HYPERLINK("http://www.lindberg.no/hires", "http://www.lindberg.no/hires")</f>
        <v>http://www.lindberg.no/hires</v>
      </c>
      <c r="B24" t="s">
        <v>5</v>
      </c>
      <c r="C24" t="str">
        <f t="shared" si="2"/>
        <v>2021-09-10 Daily post</v>
      </c>
      <c r="D24" t="s">
        <v>261</v>
      </c>
      <c r="E24" t="s">
        <v>61</v>
      </c>
    </row>
    <row r="25" spans="1:5" x14ac:dyDescent="0.2">
      <c r="A25" t="str">
        <f>HYPERLINK("https://samples.ffmpeg.org", "https://samples.ffmpeg.org")</f>
        <v>https://samples.ffmpeg.org</v>
      </c>
      <c r="B25" t="s">
        <v>5</v>
      </c>
      <c r="C25" t="str">
        <f t="shared" si="2"/>
        <v>2021-09-10 Daily post</v>
      </c>
      <c r="D25" t="s">
        <v>261</v>
      </c>
      <c r="E25" t="s">
        <v>61</v>
      </c>
    </row>
    <row r="26" spans="1:5" x14ac:dyDescent="0.2">
      <c r="A26" t="str">
        <f>HYPERLINK("https://files.valhallagameplays.info", "https://files.valhallagameplays.info")</f>
        <v>https://files.valhallagameplays.info</v>
      </c>
      <c r="B26" t="s">
        <v>5</v>
      </c>
      <c r="C26" t="str">
        <f t="shared" si="2"/>
        <v>2021-09-10 Daily post</v>
      </c>
      <c r="D26" t="s">
        <v>261</v>
      </c>
      <c r="E26" t="s">
        <v>61</v>
      </c>
    </row>
    <row r="27" spans="1:5" x14ac:dyDescent="0.2">
      <c r="A27" t="str">
        <f>HYPERLINK("https://www.nlnetlabs.nl/downloads", "https://www.nlnetlabs.nl/downloads")</f>
        <v>https://www.nlnetlabs.nl/downloads</v>
      </c>
      <c r="B27" t="s">
        <v>5</v>
      </c>
      <c r="C27" t="str">
        <f t="shared" si="2"/>
        <v>2021-09-10 Daily post</v>
      </c>
      <c r="D27" t="s">
        <v>261</v>
      </c>
      <c r="E27" t="s">
        <v>61</v>
      </c>
    </row>
    <row r="28" spans="1:5" x14ac:dyDescent="0.2">
      <c r="A28" t="str">
        <f>HYPERLINK("http://sniff.numachi.com/scores", "http://sniff.numachi.com/scores")</f>
        <v>http://sniff.numachi.com/scores</v>
      </c>
      <c r="B28" t="s">
        <v>5</v>
      </c>
      <c r="C28" t="str">
        <f>HYPERLINK("https://www.reddit.com/r/opendirectories/comments/pldwh5", "sheet music for traditional folk music")</f>
        <v>sheet music for traditional folk music</v>
      </c>
      <c r="D28" t="s">
        <v>261</v>
      </c>
    </row>
    <row r="29" spans="1:5" x14ac:dyDescent="0.2">
      <c r="A29" t="str">
        <f>HYPERLINK("http://open.m4trade.ru", "http://open.m4trade.ru")</f>
        <v>http://open.m4trade.ru</v>
      </c>
      <c r="B29" t="s">
        <v>5</v>
      </c>
      <c r="C29" t="str">
        <f>HYPERLINK("https://www.reddit.com/r/opendirectories/comments/ph5thp", "movies/music/ebooks/audiobooks (some English, some Russian)")</f>
        <v>movies/music/ebooks/audiobooks (some English, some Russian)</v>
      </c>
      <c r="D29" t="s">
        <v>363</v>
      </c>
      <c r="E29" t="s">
        <v>156</v>
      </c>
    </row>
    <row r="30" spans="1:5" x14ac:dyDescent="0.2">
      <c r="A30" t="str">
        <f>HYPERLINK("https://hakase.lilprincess.xyz/storage", "https://hakase.lilprincess.xyz/storage")</f>
        <v>https://hakase.lilprincess.xyz/storage</v>
      </c>
      <c r="B30" t="s">
        <v>5</v>
      </c>
      <c r="C30" t="str">
        <f>HYPERLINK("https://www.reddit.com/r/opendirectories/comments/owjba3", "[NSFW] Music Videos, Music, TV Shows, Android Apps, OnlyFans Rips")</f>
        <v>[NSFW] Music Videos, Music, TV Shows, Android Apps, OnlyFans Rips</v>
      </c>
      <c r="D30" t="s">
        <v>18</v>
      </c>
    </row>
    <row r="31" spans="1:5" x14ac:dyDescent="0.2">
      <c r="A31" t="str">
        <f>HYPERLINK("http://5.196.72.204", "http://5.196.72.204")</f>
        <v>http://5.196.72.204</v>
      </c>
      <c r="B31" t="s">
        <v>5</v>
      </c>
      <c r="C31" t="str">
        <f>HYPERLINK("https://www.reddit.com/r/opendirectories/comments/pg8low", "French Music/TV/Movies and other misc items")</f>
        <v>French Music/TV/Movies and other misc items</v>
      </c>
      <c r="D31" t="s">
        <v>364</v>
      </c>
      <c r="E31" t="s">
        <v>51</v>
      </c>
    </row>
    <row r="32" spans="1:5" x14ac:dyDescent="0.2">
      <c r="A32" t="str">
        <f>HYPERLINK("http://144.217.177.36:4742", "http://144.217.177.36:4742")</f>
        <v>http://144.217.177.36:4742</v>
      </c>
      <c r="B32" t="s">
        <v>5</v>
      </c>
      <c r="C32" t="str">
        <f>HYPERLINK("https://www.reddit.com/r/opendirectories/comments/kwctmn", "Movies/TV/Anime/Apps/Audiobooks/Ebooks/Games/Movies/Music -- Something for everyone!!")</f>
        <v>Movies/TV/Anime/Apps/Audiobooks/Ebooks/Games/Movies/Music -- Something for everyone!!</v>
      </c>
      <c r="D32" t="s">
        <v>365</v>
      </c>
    </row>
    <row r="33" spans="1:4" x14ac:dyDescent="0.2">
      <c r="A33" t="str">
        <f>HYPERLINK("http://web.stanford.edu/~jonpilat", "http://web.stanford.edu/~jonpilat")</f>
        <v>http://web.stanford.edu/~jonpilat</v>
      </c>
      <c r="B33" t="s">
        <v>5</v>
      </c>
      <c r="C33" t="str">
        <f>HYPERLINK("https://www.reddit.com/r/opendirectories/comments/p8gutq", "Stanford Acapella Group Released and Draft tracks")</f>
        <v>Stanford Acapella Group Released and Draft tracks</v>
      </c>
      <c r="D33" t="s">
        <v>516</v>
      </c>
    </row>
    <row r="34" spans="1:4" x14ac:dyDescent="0.2">
      <c r="A34" t="str">
        <f>HYPERLINK("https://www.daev.ca/tchunes", "https://www.daev.ca/tchunes")</f>
        <v>https://www.daev.ca/tchunes</v>
      </c>
      <c r="B34" t="s">
        <v>5</v>
      </c>
      <c r="C34" t="str">
        <f>HYPERLINK("https://www.reddit.com/r/opendirectories/comments/p59w5a", "trad Irish sheet music and recordings")</f>
        <v>trad Irish sheet music and recordings</v>
      </c>
      <c r="D34" t="s">
        <v>517</v>
      </c>
    </row>
    <row r="35" spans="1:4" x14ac:dyDescent="0.2">
      <c r="A35" t="str">
        <f>HYPERLINK("https://s1.my-film.pw", "https://s1.my-film.pw")</f>
        <v>https://s1.my-film.pw</v>
      </c>
      <c r="B35" t="s">
        <v>5</v>
      </c>
      <c r="C35" t="str">
        <f>HYPERLINK("https://www.reddit.com/r/opendirectories/comments/owj5uz", "Movies, Music, TV Shows")</f>
        <v>Movies, Music, TV Shows</v>
      </c>
      <c r="D35" t="s">
        <v>18</v>
      </c>
    </row>
    <row r="36" spans="1:4" x14ac:dyDescent="0.2">
      <c r="A36" t="str">
        <f>HYPERLINK("http://85.17.156.33", "http://85.17.156.33")</f>
        <v>http://85.17.156.33</v>
      </c>
      <c r="B36" t="s">
        <v>5</v>
      </c>
      <c r="C36" t="str">
        <f>HYPERLINK("https://www.reddit.com/r/opendirectories/comments/oumyj3", "Windows Games, Movies, TV Shows, &amp;amp; Music")</f>
        <v>Windows Games, Movies, TV Shows, &amp;amp; Music</v>
      </c>
      <c r="D36" t="s">
        <v>19</v>
      </c>
    </row>
    <row r="37" spans="1:4" x14ac:dyDescent="0.2">
      <c r="A37" t="str">
        <f>HYPERLINK("http://dl3.doostihaa.com/files", "http://dl3.doostihaa.com/files")</f>
        <v>http://dl3.doostihaa.com/files</v>
      </c>
      <c r="B37" t="s">
        <v>5</v>
      </c>
      <c r="C37" t="str">
        <f>HYPERLINK("https://www.reddit.com/r/opendirectories/comments/oumhft", "[IRAN] Music")</f>
        <v>[IRAN] Music</v>
      </c>
      <c r="D37" t="s">
        <v>19</v>
      </c>
    </row>
    <row r="38" spans="1:4" x14ac:dyDescent="0.2">
      <c r="A38" t="str">
        <f>HYPERLINK("https://www.stuffdown.com/2015", "https://www.stuffdown.com/2015")</f>
        <v>https://www.stuffdown.com/2015</v>
      </c>
      <c r="B38" t="s">
        <v>5</v>
      </c>
      <c r="C38" t="str">
        <f>HYPERLINK("https://www.reddit.com/r/opendirectories/comments/ou3tle", "Tons of MP3s by year/album")</f>
        <v>Tons of MP3s by year/album</v>
      </c>
      <c r="D38" t="s">
        <v>20</v>
      </c>
    </row>
    <row r="39" spans="1:4" x14ac:dyDescent="0.2">
      <c r="A39" t="str">
        <f>HYPERLINK("https://users.757.org", "https://users.757.org")</f>
        <v>https://users.757.org</v>
      </c>
      <c r="B39" t="s">
        <v>5</v>
      </c>
      <c r="C39" t="str">
        <f>HYPERLINK("https://www.reddit.com/r/opendirectories/comments/ou3o1s", "MIDI Music")</f>
        <v>MIDI Music</v>
      </c>
      <c r="D39" t="s">
        <v>20</v>
      </c>
    </row>
    <row r="40" spans="1:4" x14ac:dyDescent="0.2">
      <c r="A40" t="str">
        <f>HYPERLINK("http://www.leibmanland.com/music", "http://www.leibmanland.com/music")</f>
        <v>http://www.leibmanland.com/music</v>
      </c>
      <c r="B40" t="s">
        <v>5</v>
      </c>
      <c r="C40" t="str">
        <f>HYPERLINK("https://www.reddit.com/r/opendirectories/comments/ou3mvr", "More Sheet Music")</f>
        <v>More Sheet Music</v>
      </c>
      <c r="D40" t="s">
        <v>20</v>
      </c>
    </row>
    <row r="41" spans="1:4" x14ac:dyDescent="0.2">
      <c r="A41" t="str">
        <f>HYPERLINK("http://www.cloonam.com/static", "http://www.cloonam.com/static")</f>
        <v>http://www.cloonam.com/static</v>
      </c>
      <c r="B41" t="s">
        <v>5</v>
      </c>
      <c r="C41" t="str">
        <f>HYPERLINK("https://www.reddit.com/r/opendirectories/comments/ou3hv2", "Music &amp;amp; Sheet Music")</f>
        <v>Music &amp;amp; Sheet Music</v>
      </c>
      <c r="D41" t="s">
        <v>20</v>
      </c>
    </row>
    <row r="42" spans="1:4" x14ac:dyDescent="0.2">
      <c r="A42" t="str">
        <f>HYPERLINK("http://65.186.78.52/MUSIC/TYLER", "http://65.186.78.52/MUSIC/TYLER")</f>
        <v>http://65.186.78.52/MUSIC/TYLER</v>
      </c>
      <c r="B42" t="s">
        <v>5</v>
      </c>
      <c r="C42" t="str">
        <f>HYPERLINK("https://www.reddit.com/r/opendirectories/comments/ou2oz6", "Assorted Music")</f>
        <v>Assorted Music</v>
      </c>
      <c r="D42" t="s">
        <v>20</v>
      </c>
    </row>
    <row r="43" spans="1:4" x14ac:dyDescent="0.2">
      <c r="A43" t="str">
        <f>HYPERLINK("http://home.darkok.xyz", "http://home.darkok.xyz")</f>
        <v>http://home.darkok.xyz</v>
      </c>
      <c r="B43" t="s">
        <v>5</v>
      </c>
      <c r="C43" t="str">
        <f>HYPERLINK("https://www.reddit.com/r/opendirectories/comments/ou2d27", "Music, Flash animations, and Games")</f>
        <v>Music, Flash animations, and Games</v>
      </c>
      <c r="D43" t="s">
        <v>20</v>
      </c>
    </row>
    <row r="44" spans="1:4" x14ac:dyDescent="0.2">
      <c r="A44" t="str">
        <f>HYPERLINK("https://metis.feralhosting.com/john1911/files", "https://metis.feralhosting.com/john1911/files")</f>
        <v>https://metis.feralhosting.com/john1911/files</v>
      </c>
      <c r="B44" t="s">
        <v>5</v>
      </c>
      <c r="C44" t="str">
        <f>HYPERLINK("https://www.reddit.com/r/opendirectories/comments/otgzwk", "Ebooks &amp;amp; Music")</f>
        <v>Ebooks &amp;amp; Music</v>
      </c>
      <c r="D44" t="s">
        <v>21</v>
      </c>
    </row>
    <row r="45" spans="1:4" x14ac:dyDescent="0.2">
      <c r="A45" t="str">
        <f>HYPERLINK("https://www.naijvideos.com/content/media", "https://www.naijvideos.com/content/media")</f>
        <v>https://www.naijvideos.com/content/media</v>
      </c>
      <c r="B45" t="s">
        <v>5</v>
      </c>
      <c r="C45" t="str">
        <f>HYPERLINK("https://www.reddit.com/r/opendirectories/comments/osoya1", "Music (Rap/R&amp;amp;B)")</f>
        <v>Music (Rap/R&amp;amp;B)</v>
      </c>
      <c r="D45" t="s">
        <v>518</v>
      </c>
    </row>
    <row r="46" spans="1:4" x14ac:dyDescent="0.2">
      <c r="A46" t="str">
        <f>HYPERLINK("http://www.mailboxdrive.com", "http://www.mailboxdrive.com")</f>
        <v>http://www.mailboxdrive.com</v>
      </c>
      <c r="B46" t="s">
        <v>5</v>
      </c>
      <c r="C46" t="str">
        <f>HYPERLINK("https://www.reddit.com/r/opendirectories/comments/oseh05", "Very disorganized music collection")</f>
        <v>Very disorganized music collection</v>
      </c>
      <c r="D46" t="s">
        <v>518</v>
      </c>
    </row>
    <row r="47" spans="1:4" x14ac:dyDescent="0.2">
      <c r="A47" t="str">
        <f>HYPERLINK("http://onj3.andrelouis.com/phonetones", "http://onj3.andrelouis.com/phonetones")</f>
        <v>http://onj3.andrelouis.com/phonetones</v>
      </c>
      <c r="B47" t="s">
        <v>5</v>
      </c>
      <c r="C47" t="str">
        <f>HYPERLINK("https://www.reddit.com/r/opendirectories/comments/ojetpq", "a lot of ringtones (organized by brand)")</f>
        <v>a lot of ringtones (organized by brand)</v>
      </c>
      <c r="D47" t="s">
        <v>264</v>
      </c>
    </row>
    <row r="48" spans="1:4" x14ac:dyDescent="0.2">
      <c r="A48" t="str">
        <f>HYPERLINK("http://173.249.45.226", "http://173.249.45.226")</f>
        <v>http://173.249.45.226</v>
      </c>
      <c r="B48" t="s">
        <v>5</v>
      </c>
      <c r="C48" t="str">
        <f>HYPERLINK("https://www.reddit.com/r/opendirectories/comments/jsa626", "JAV Galore, Hentai, Amat, ...")</f>
        <v>JAV Galore, Hentai, Amat, ...</v>
      </c>
      <c r="D48" t="s">
        <v>266</v>
      </c>
    </row>
    <row r="49" spans="1:5" x14ac:dyDescent="0.2">
      <c r="A49" t="str">
        <f>HYPERLINK("http://master255.org", "http://master255.org")</f>
        <v>http://master255.org</v>
      </c>
      <c r="B49" t="s">
        <v>5</v>
      </c>
      <c r="C49" t="str">
        <f>HYPERLINK("https://www.reddit.com/r/opendirectories/comments/o7uvcv", "Collection of video games")</f>
        <v>Collection of video games</v>
      </c>
      <c r="D49" t="s">
        <v>267</v>
      </c>
    </row>
    <row r="50" spans="1:5" x14ac:dyDescent="0.2">
      <c r="A50" t="str">
        <f>HYPERLINK("https://cvltnation.com/wp-content/audio", "https://cvltnation.com/wp-content/audio")</f>
        <v>https://cvltnation.com/wp-content/audio</v>
      </c>
      <c r="B50" t="s">
        <v>5</v>
      </c>
      <c r="C50" t="str">
        <f>HYPERLINK("https://www.reddit.com/r/opendirectories/comments/o7lwj7", "Poorly organized but metal music")</f>
        <v>Poorly organized but metal music</v>
      </c>
      <c r="D50" t="s">
        <v>267</v>
      </c>
    </row>
    <row r="51" spans="1:5" x14ac:dyDescent="0.2">
      <c r="A51" t="str">
        <f>HYPERLINK("http://135.181.113.216:9000", "http://135.181.113.216:9000")</f>
        <v>http://135.181.113.216:9000</v>
      </c>
      <c r="B51" t="s">
        <v>5</v>
      </c>
      <c r="C51" t="str">
        <f>HYPERLINK("https://www.reddit.com/r/opendirectories/comments/o5n7qj", "Movies, tvshows, music, anime and ebooks")</f>
        <v>Movies, tvshows, music, anime and ebooks</v>
      </c>
      <c r="D51" t="s">
        <v>268</v>
      </c>
      <c r="E51" t="s">
        <v>14</v>
      </c>
    </row>
    <row r="52" spans="1:5" x14ac:dyDescent="0.2">
      <c r="A52" t="str">
        <f>HYPERLINK("http://195.93.160.105", "http://195.93.160.105")</f>
        <v>http://195.93.160.105</v>
      </c>
      <c r="B52" t="s">
        <v>5</v>
      </c>
      <c r="C52" t="str">
        <f>HYPERLINK("https://www.reddit.com/r/opendirectories/comments/innmzu", "Russian dexes are great [FLAC]")</f>
        <v>Russian dexes are great [FLAC]</v>
      </c>
      <c r="D52" t="s">
        <v>374</v>
      </c>
      <c r="E52" t="s">
        <v>8</v>
      </c>
    </row>
    <row r="53" spans="1:5" x14ac:dyDescent="0.2">
      <c r="A53" t="str">
        <f>HYPERLINK("http://80s.lt/Files", "http://80s.lt/Files")</f>
        <v>http://80s.lt/Files</v>
      </c>
      <c r="B53" t="s">
        <v>5</v>
      </c>
      <c r="C53" t="str">
        <f>HYPERLINK("https://www.reddit.com/r/opendirectories/comments/o3cz74", "Music videos")</f>
        <v>Music videos</v>
      </c>
      <c r="D53" t="s">
        <v>25</v>
      </c>
    </row>
    <row r="54" spans="1:5" x14ac:dyDescent="0.2">
      <c r="A54" t="str">
        <f>HYPERLINK("http://188.165.227.112", "http://188.165.227.112")</f>
        <v>http://188.165.227.112</v>
      </c>
      <c r="B54" t="s">
        <v>5</v>
      </c>
      <c r="C54" t="str">
        <f>HYPERLINK("https://www.reddit.com/r/opendirectories/comments/nkkq2m", "🎠🎠🎠")</f>
        <v>🎠🎠🎠</v>
      </c>
      <c r="D54" t="s">
        <v>375</v>
      </c>
      <c r="E54" t="s">
        <v>51</v>
      </c>
    </row>
    <row r="55" spans="1:5" x14ac:dyDescent="0.2">
      <c r="A55" t="str">
        <f>HYPERLINK("http://14.7.238.154", "http://14.7.238.154")</f>
        <v>http://14.7.238.154</v>
      </c>
      <c r="B55" t="s">
        <v>5</v>
      </c>
      <c r="C55" t="str">
        <f>HYPERLINK("https://www.reddit.com/r/opendirectories/comments/nv0oso", "Index of billboard top 100 year end hits 1979")</f>
        <v>Index of billboard top 100 year end hits 1979</v>
      </c>
      <c r="D55" t="s">
        <v>366</v>
      </c>
    </row>
    <row r="56" spans="1:5" x14ac:dyDescent="0.2">
      <c r="A56" t="str">
        <f>HYPERLINK("http://www.dont-try.com/buk", "http://www.dont-try.com/buk")</f>
        <v>http://www.dont-try.com/buk</v>
      </c>
      <c r="B56" t="s">
        <v>5</v>
      </c>
      <c r="C56" t="str">
        <f>HYPERLINK("https://www.reddit.com/r/opendirectories/comments/nv0ns5", "Index of Charles Bukowski spoken word")</f>
        <v>Index of Charles Bukowski spoken word</v>
      </c>
      <c r="D56" t="s">
        <v>366</v>
      </c>
    </row>
    <row r="57" spans="1:5" x14ac:dyDescent="0.2">
      <c r="A57" t="str">
        <f>HYPERLINK("http://51.183.57.164:7777", "http://51.183.57.164:7777")</f>
        <v>http://51.183.57.164:7777</v>
      </c>
      <c r="B57" t="s">
        <v>5</v>
      </c>
      <c r="C57" t="str">
        <f t="shared" ref="C57:C71" si="3">HYPERLINK("https://www.reddit.com/r/opendirectories/comments/nt7fea", "Music for the masses !")</f>
        <v>Music for the masses !</v>
      </c>
      <c r="D57" t="s">
        <v>460</v>
      </c>
      <c r="E57" t="s">
        <v>51</v>
      </c>
    </row>
    <row r="58" spans="1:5" x14ac:dyDescent="0.2">
      <c r="A58" t="str">
        <f>HYPERLINK("http://requinsynergy.com/requin", "http://requinsynergy.com/requin")</f>
        <v>http://requinsynergy.com/requin</v>
      </c>
      <c r="B58" t="s">
        <v>5</v>
      </c>
      <c r="C58" t="str">
        <f t="shared" si="3"/>
        <v>Music for the masses !</v>
      </c>
      <c r="D58" t="s">
        <v>460</v>
      </c>
      <c r="E58" t="s">
        <v>51</v>
      </c>
    </row>
    <row r="59" spans="1:5" x14ac:dyDescent="0.2">
      <c r="A59" t="str">
        <f>HYPERLINK("http://163.172.211.38", "http://163.172.211.38")</f>
        <v>http://163.172.211.38</v>
      </c>
      <c r="B59" t="s">
        <v>5</v>
      </c>
      <c r="C59" t="str">
        <f t="shared" si="3"/>
        <v>Music for the masses !</v>
      </c>
      <c r="D59" t="s">
        <v>460</v>
      </c>
      <c r="E59" t="s">
        <v>51</v>
      </c>
    </row>
    <row r="60" spans="1:5" x14ac:dyDescent="0.2">
      <c r="A60" t="str">
        <f>HYPERLINK("http://193.55.211.25", "http://193.55.211.25")</f>
        <v>http://193.55.211.25</v>
      </c>
      <c r="B60" t="s">
        <v>5</v>
      </c>
      <c r="C60" t="str">
        <f t="shared" si="3"/>
        <v>Music for the masses !</v>
      </c>
      <c r="D60" t="s">
        <v>460</v>
      </c>
      <c r="E60" t="s">
        <v>51</v>
      </c>
    </row>
    <row r="61" spans="1:5" x14ac:dyDescent="0.2">
      <c r="A61" t="str">
        <f>HYPERLINK("http://64.94.212.177", "http://64.94.212.177")</f>
        <v>http://64.94.212.177</v>
      </c>
      <c r="B61" t="s">
        <v>5</v>
      </c>
      <c r="C61" t="str">
        <f t="shared" si="3"/>
        <v>Music for the masses !</v>
      </c>
      <c r="D61" t="s">
        <v>460</v>
      </c>
      <c r="E61" t="s">
        <v>51</v>
      </c>
    </row>
    <row r="62" spans="1:5" x14ac:dyDescent="0.2">
      <c r="A62" t="str">
        <f>HYPERLINK("http://media.kingarthur.com", "http://media.kingarthur.com")</f>
        <v>http://media.kingarthur.com</v>
      </c>
      <c r="B62" t="s">
        <v>5</v>
      </c>
      <c r="C62" t="str">
        <f t="shared" si="3"/>
        <v>Music for the masses !</v>
      </c>
      <c r="D62" t="s">
        <v>460</v>
      </c>
      <c r="E62" t="s">
        <v>51</v>
      </c>
    </row>
    <row r="63" spans="1:5" x14ac:dyDescent="0.2">
      <c r="A63" t="str">
        <f>HYPERLINK("https://212.159.121.149:85", "https://212.159.121.149:85")</f>
        <v>https://212.159.121.149:85</v>
      </c>
      <c r="B63" t="s">
        <v>5</v>
      </c>
      <c r="C63" t="str">
        <f t="shared" si="3"/>
        <v>Music for the masses !</v>
      </c>
      <c r="D63" t="s">
        <v>460</v>
      </c>
      <c r="E63" t="s">
        <v>51</v>
      </c>
    </row>
    <row r="64" spans="1:5" x14ac:dyDescent="0.2">
      <c r="A64" t="str">
        <f>HYPERLINK("http://chaosje.nl", "http://chaosje.nl")</f>
        <v>http://chaosje.nl</v>
      </c>
      <c r="B64" t="s">
        <v>5</v>
      </c>
      <c r="C64" t="str">
        <f t="shared" si="3"/>
        <v>Music for the masses !</v>
      </c>
      <c r="D64" t="s">
        <v>460</v>
      </c>
      <c r="E64" t="s">
        <v>51</v>
      </c>
    </row>
    <row r="65" spans="1:5" x14ac:dyDescent="0.2">
      <c r="A65" t="str">
        <f>HYPERLINK("http://brandonblattner.com/home/audio", "http://brandonblattner.com/home/audio")</f>
        <v>http://brandonblattner.com/home/audio</v>
      </c>
      <c r="B65" t="s">
        <v>5</v>
      </c>
      <c r="C65" t="str">
        <f t="shared" si="3"/>
        <v>Music for the masses !</v>
      </c>
      <c r="D65" t="s">
        <v>460</v>
      </c>
      <c r="E65" t="s">
        <v>51</v>
      </c>
    </row>
    <row r="66" spans="1:5" x14ac:dyDescent="0.2">
      <c r="A66" t="str">
        <f>HYPERLINK("http://www.dixiedrifter.com/music", "http://www.dixiedrifter.com/music")</f>
        <v>http://www.dixiedrifter.com/music</v>
      </c>
      <c r="B66" t="s">
        <v>5</v>
      </c>
      <c r="C66" t="str">
        <f t="shared" si="3"/>
        <v>Music for the masses !</v>
      </c>
      <c r="D66" t="s">
        <v>460</v>
      </c>
      <c r="E66" t="s">
        <v>51</v>
      </c>
    </row>
    <row r="67" spans="1:5" x14ac:dyDescent="0.2">
      <c r="A67" t="str">
        <f>HYPERLINK("http://49.51.138.143", "http://49.51.138.143")</f>
        <v>http://49.51.138.143</v>
      </c>
      <c r="B67" t="s">
        <v>5</v>
      </c>
      <c r="C67" t="str">
        <f t="shared" si="3"/>
        <v>Music for the masses !</v>
      </c>
      <c r="D67" t="s">
        <v>460</v>
      </c>
      <c r="E67" t="s">
        <v>51</v>
      </c>
    </row>
    <row r="68" spans="1:5" x14ac:dyDescent="0.2">
      <c r="A68" t="str">
        <f>HYPERLINK("http://103.212.226.231", "http://103.212.226.231")</f>
        <v>http://103.212.226.231</v>
      </c>
      <c r="B68" t="s">
        <v>5</v>
      </c>
      <c r="C68" t="str">
        <f t="shared" si="3"/>
        <v>Music for the masses !</v>
      </c>
      <c r="D68" t="s">
        <v>460</v>
      </c>
      <c r="E68" t="s">
        <v>51</v>
      </c>
    </row>
    <row r="69" spans="1:5" x14ac:dyDescent="0.2">
      <c r="A69" t="str">
        <f>HYPERLINK("http://62.171.148.182", "http://62.171.148.182")</f>
        <v>http://62.171.148.182</v>
      </c>
      <c r="B69" t="s">
        <v>5</v>
      </c>
      <c r="C69" t="str">
        <f t="shared" si="3"/>
        <v>Music for the masses !</v>
      </c>
      <c r="D69" t="s">
        <v>460</v>
      </c>
      <c r="E69" t="s">
        <v>51</v>
      </c>
    </row>
    <row r="70" spans="1:5" x14ac:dyDescent="0.2">
      <c r="A70" t="str">
        <f>HYPERLINK("http://82.64.172.247", "http://82.64.172.247")</f>
        <v>http://82.64.172.247</v>
      </c>
      <c r="B70" t="s">
        <v>5</v>
      </c>
      <c r="C70" t="str">
        <f t="shared" si="3"/>
        <v>Music for the masses !</v>
      </c>
      <c r="D70" t="s">
        <v>460</v>
      </c>
      <c r="E70" t="s">
        <v>51</v>
      </c>
    </row>
    <row r="71" spans="1:5" x14ac:dyDescent="0.2">
      <c r="A71" t="str">
        <f>HYPERLINK("https://103.212.226.231", "https://103.212.226.231")</f>
        <v>https://103.212.226.231</v>
      </c>
      <c r="B71" t="s">
        <v>5</v>
      </c>
      <c r="C71" t="str">
        <f t="shared" si="3"/>
        <v>Music for the masses !</v>
      </c>
      <c r="D71" t="s">
        <v>460</v>
      </c>
      <c r="E71" t="s">
        <v>51</v>
      </c>
    </row>
    <row r="72" spans="1:5" x14ac:dyDescent="0.2">
      <c r="A72" t="str">
        <f>HYPERLINK("http://dl2.doostihaa.net/Animation", "http://dl2.doostihaa.net/Animation")</f>
        <v>http://dl2.doostihaa.net/Animation</v>
      </c>
      <c r="B72" t="s">
        <v>5</v>
      </c>
      <c r="C72" t="str">
        <f t="shared" ref="C72:C80" si="4">HYPERLINK("https://www.reddit.com/r/opendirectories/comments/nsa8yg", "A mixed bag of asian Animes/Mangas ... and some movies, essentially in [JAP][KOR] and maybe some [ENG] subs.")</f>
        <v>A mixed bag of asian Animes/Mangas ... and some movies, essentially in [JAP][KOR] and maybe some [ENG] subs.</v>
      </c>
      <c r="D72" t="s">
        <v>270</v>
      </c>
      <c r="E72" t="s">
        <v>14</v>
      </c>
    </row>
    <row r="73" spans="1:5" x14ac:dyDescent="0.2">
      <c r="A73" t="str">
        <f>HYPERLINK("https://208.113.165.59", "https://208.113.165.59")</f>
        <v>https://208.113.165.59</v>
      </c>
      <c r="B73" t="s">
        <v>5</v>
      </c>
      <c r="C73" t="str">
        <f t="shared" si="4"/>
        <v>A mixed bag of asian Animes/Mangas ... and some movies, essentially in [JAP][KOR] and maybe some [ENG] subs.</v>
      </c>
      <c r="D73" t="s">
        <v>270</v>
      </c>
      <c r="E73" t="s">
        <v>14</v>
      </c>
    </row>
    <row r="74" spans="1:5" x14ac:dyDescent="0.2">
      <c r="A74" t="str">
        <f>HYPERLINK("http://176.36.86.211", "http://176.36.86.211")</f>
        <v>http://176.36.86.211</v>
      </c>
      <c r="B74" t="s">
        <v>5</v>
      </c>
      <c r="C74" t="str">
        <f t="shared" si="4"/>
        <v>A mixed bag of asian Animes/Mangas ... and some movies, essentially in [JAP][KOR] and maybe some [ENG] subs.</v>
      </c>
      <c r="D74" t="s">
        <v>270</v>
      </c>
      <c r="E74" t="s">
        <v>14</v>
      </c>
    </row>
    <row r="75" spans="1:5" x14ac:dyDescent="0.2">
      <c r="A75" t="str">
        <f>HYPERLINK("https://166.84.7.155", "https://166.84.7.155")</f>
        <v>https://166.84.7.155</v>
      </c>
      <c r="B75" t="s">
        <v>5</v>
      </c>
      <c r="C75" t="str">
        <f t="shared" si="4"/>
        <v>A mixed bag of asian Animes/Mangas ... and some movies, essentially in [JAP][KOR] and maybe some [ENG] subs.</v>
      </c>
      <c r="D75" t="s">
        <v>270</v>
      </c>
      <c r="E75" t="s">
        <v>14</v>
      </c>
    </row>
    <row r="76" spans="1:5" x14ac:dyDescent="0.2">
      <c r="A76" t="str">
        <f>HYPERLINK("http://ns3309227.ip-178-32-222.eu", "http://ns3309227.ip-178-32-222.eu")</f>
        <v>http://ns3309227.ip-178-32-222.eu</v>
      </c>
      <c r="B76" t="s">
        <v>5</v>
      </c>
      <c r="C76" t="str">
        <f t="shared" si="4"/>
        <v>A mixed bag of asian Animes/Mangas ... and some movies, essentially in [JAP][KOR] and maybe some [ENG] subs.</v>
      </c>
      <c r="D76" t="s">
        <v>270</v>
      </c>
      <c r="E76" t="s">
        <v>14</v>
      </c>
    </row>
    <row r="77" spans="1:5" x14ac:dyDescent="0.2">
      <c r="A77" t="str">
        <f>HYPERLINK("https://73.50.3.208", "https://73.50.3.208")</f>
        <v>https://73.50.3.208</v>
      </c>
      <c r="B77" t="s">
        <v>5</v>
      </c>
      <c r="C77" t="str">
        <f t="shared" si="4"/>
        <v>A mixed bag of asian Animes/Mangas ... and some movies, essentially in [JAP][KOR] and maybe some [ENG] subs.</v>
      </c>
      <c r="D77" t="s">
        <v>270</v>
      </c>
      <c r="E77" t="s">
        <v>14</v>
      </c>
    </row>
    <row r="78" spans="1:5" x14ac:dyDescent="0.2">
      <c r="A78" t="str">
        <f>HYPERLINK("http://zdlo.oni2.net", "http://zdlo.oni2.net")</f>
        <v>http://zdlo.oni2.net</v>
      </c>
      <c r="B78" t="s">
        <v>5</v>
      </c>
      <c r="C78" t="str">
        <f t="shared" si="4"/>
        <v>A mixed bag of asian Animes/Mangas ... and some movies, essentially in [JAP][KOR] and maybe some [ENG] subs.</v>
      </c>
      <c r="D78" t="s">
        <v>270</v>
      </c>
      <c r="E78" t="s">
        <v>14</v>
      </c>
    </row>
    <row r="79" spans="1:5" x14ac:dyDescent="0.2">
      <c r="A79" t="str">
        <f>HYPERLINK("https://192.99.0.65", "https://192.99.0.65")</f>
        <v>https://192.99.0.65</v>
      </c>
      <c r="B79" t="s">
        <v>5</v>
      </c>
      <c r="C79" t="str">
        <f t="shared" si="4"/>
        <v>A mixed bag of asian Animes/Mangas ... and some movies, essentially in [JAP][KOR] and maybe some [ENG] subs.</v>
      </c>
      <c r="D79" t="s">
        <v>270</v>
      </c>
      <c r="E79" t="s">
        <v>14</v>
      </c>
    </row>
    <row r="80" spans="1:5" x14ac:dyDescent="0.2">
      <c r="A80" t="str">
        <f>HYPERLINK("http://221.157.97.238", "http://221.157.97.238")</f>
        <v>http://221.157.97.238</v>
      </c>
      <c r="B80" t="s">
        <v>5</v>
      </c>
      <c r="C80" t="str">
        <f t="shared" si="4"/>
        <v>A mixed bag of asian Animes/Mangas ... and some movies, essentially in [JAP][KOR] and maybe some [ENG] subs.</v>
      </c>
      <c r="D80" t="s">
        <v>270</v>
      </c>
      <c r="E80" t="s">
        <v>14</v>
      </c>
    </row>
    <row r="81" spans="1:5" x14ac:dyDescent="0.2">
      <c r="A81" t="str">
        <f>HYPERLINK("https://www.caccioppoli.com/Animated%20gifs", "https://www.caccioppoli.com/Animated%20gifs")</f>
        <v>https://www.caccioppoli.com/Animated%20gifs</v>
      </c>
      <c r="B81" t="s">
        <v>5</v>
      </c>
      <c r="C81" t="str">
        <f>HYPERLINK("https://www.reddit.com/r/opendirectories/comments/nqutof", "Animated Gif's...")</f>
        <v>Animated Gif's...</v>
      </c>
      <c r="D81" t="s">
        <v>28</v>
      </c>
    </row>
    <row r="82" spans="1:5" x14ac:dyDescent="0.2">
      <c r="A82" t="str">
        <f>HYPERLINK("http://tubeuploads.bang.com", "http://tubeuploads.bang.com")</f>
        <v>http://tubeuploads.bang.com</v>
      </c>
      <c r="B82" t="s">
        <v>5</v>
      </c>
      <c r="C82" t="str">
        <f>HYPERLINK("https://www.reddit.com/r/opendirectories/comments/noand3", "NSFW many Compilations 1G ish each")</f>
        <v>NSFW many Compilations 1G ish each</v>
      </c>
      <c r="D82" t="s">
        <v>271</v>
      </c>
    </row>
    <row r="83" spans="1:5" x14ac:dyDescent="0.2">
      <c r="A83" t="str">
        <f>HYPERLINK("https://www.theclownarmy.com", "https://www.theclownarmy.com")</f>
        <v>https://www.theclownarmy.com</v>
      </c>
      <c r="B83" t="s">
        <v>5</v>
      </c>
      <c r="C83" t="str">
        <f t="shared" ref="C83:C92" si="5">HYPERLINK("https://www.reddit.com/r/opendirectories/comments/nkkq2m", "🎠🎠🎠")</f>
        <v>🎠🎠🎠</v>
      </c>
      <c r="D83" t="s">
        <v>375</v>
      </c>
    </row>
    <row r="84" spans="1:5" x14ac:dyDescent="0.2">
      <c r="A84" t="str">
        <f>HYPERLINK("https://s2.my-film.pw", "https://s2.my-film.pw")</f>
        <v>https://s2.my-film.pw</v>
      </c>
      <c r="B84" t="s">
        <v>5</v>
      </c>
      <c r="C84" t="str">
        <f t="shared" si="5"/>
        <v>🎠🎠🎠</v>
      </c>
      <c r="D84" t="s">
        <v>375</v>
      </c>
    </row>
    <row r="85" spans="1:5" x14ac:dyDescent="0.2">
      <c r="A85" t="str">
        <f>HYPERLINK("http://s3.fdll.xyz", "http://s3.fdll.xyz")</f>
        <v>http://s3.fdll.xyz</v>
      </c>
      <c r="B85" t="s">
        <v>5</v>
      </c>
      <c r="C85" t="str">
        <f t="shared" si="5"/>
        <v>🎠🎠🎠</v>
      </c>
      <c r="D85" t="s">
        <v>375</v>
      </c>
    </row>
    <row r="86" spans="1:5" x14ac:dyDescent="0.2">
      <c r="A86" t="str">
        <f>HYPERLINK("http://www.arthur-courtel.ovh", "http://www.arthur-courtel.ovh")</f>
        <v>http://www.arthur-courtel.ovh</v>
      </c>
      <c r="B86" t="s">
        <v>5</v>
      </c>
      <c r="C86" t="str">
        <f t="shared" si="5"/>
        <v>🎠🎠🎠</v>
      </c>
      <c r="D86" t="s">
        <v>375</v>
      </c>
    </row>
    <row r="87" spans="1:5" x14ac:dyDescent="0.2">
      <c r="A87" t="str">
        <f>HYPERLINK("http://jmz.ovh", "http://jmz.ovh")</f>
        <v>http://jmz.ovh</v>
      </c>
      <c r="B87" t="s">
        <v>5</v>
      </c>
      <c r="C87" t="str">
        <f t="shared" si="5"/>
        <v>🎠🎠🎠</v>
      </c>
      <c r="D87" t="s">
        <v>375</v>
      </c>
    </row>
    <row r="88" spans="1:5" x14ac:dyDescent="0.2">
      <c r="A88" t="str">
        <f>HYPERLINK("https://acdchook.net/share", "https://acdchook.net/share")</f>
        <v>https://acdchook.net/share</v>
      </c>
      <c r="B88" t="s">
        <v>5</v>
      </c>
      <c r="C88" t="str">
        <f t="shared" si="5"/>
        <v>🎠🎠🎠</v>
      </c>
      <c r="D88" t="s">
        <v>375</v>
      </c>
    </row>
    <row r="89" spans="1:5" x14ac:dyDescent="0.2">
      <c r="A89" t="str">
        <f>HYPERLINK("http://dl3.parsmovies.net", "http://dl3.parsmovies.net")</f>
        <v>http://dl3.parsmovies.net</v>
      </c>
      <c r="B89" t="s">
        <v>5</v>
      </c>
      <c r="C89" t="str">
        <f t="shared" si="5"/>
        <v>🎠🎠🎠</v>
      </c>
      <c r="D89" t="s">
        <v>375</v>
      </c>
    </row>
    <row r="90" spans="1:5" x14ac:dyDescent="0.2">
      <c r="A90" t="str">
        <f>HYPERLINK("http://dl.amy.ovh", "http://dl.amy.ovh")</f>
        <v>http://dl.amy.ovh</v>
      </c>
      <c r="B90" t="s">
        <v>5</v>
      </c>
      <c r="C90" t="str">
        <f t="shared" si="5"/>
        <v>🎠🎠🎠</v>
      </c>
      <c r="D90" t="s">
        <v>375</v>
      </c>
    </row>
    <row r="91" spans="1:5" x14ac:dyDescent="0.2">
      <c r="A91" t="str">
        <f>HYPERLINK("http://dogjdw.ipdisk.co.kr/public", "http://dogjdw.ipdisk.co.kr/public")</f>
        <v>http://dogjdw.ipdisk.co.kr/public</v>
      </c>
      <c r="B91" t="s">
        <v>5</v>
      </c>
      <c r="C91" t="str">
        <f t="shared" si="5"/>
        <v>🎠🎠🎠</v>
      </c>
      <c r="D91" t="s">
        <v>375</v>
      </c>
    </row>
    <row r="92" spans="1:5" x14ac:dyDescent="0.2">
      <c r="A92" t="str">
        <f>HYPERLINK("http://redblaze.ovh", "http://redblaze.ovh")</f>
        <v>http://redblaze.ovh</v>
      </c>
      <c r="B92" t="s">
        <v>5</v>
      </c>
      <c r="C92" t="str">
        <f t="shared" si="5"/>
        <v>🎠🎠🎠</v>
      </c>
      <c r="D92" t="s">
        <v>375</v>
      </c>
    </row>
    <row r="93" spans="1:5" x14ac:dyDescent="0.2">
      <c r="A93" t="str">
        <f>HYPERLINK("http://media.lenovo.ru/Files", "http://media.lenovo.ru/Files")</f>
        <v>http://media.lenovo.ru/Files</v>
      </c>
      <c r="B93" t="s">
        <v>5</v>
      </c>
      <c r="C93" t="str">
        <f>HYPERLINK("https://www.reddit.com/r/opendirectories/comments/nkajd9", "NICE COLLECTION")</f>
        <v>NICE COLLECTION</v>
      </c>
      <c r="D93" t="s">
        <v>375</v>
      </c>
      <c r="E93" t="s">
        <v>61</v>
      </c>
    </row>
    <row r="94" spans="1:5" x14ac:dyDescent="0.2">
      <c r="A94" t="str">
        <f>HYPERLINK("http://leone74.thoon.feralhosting.com", "http://leone74.thoon.feralhosting.com")</f>
        <v>http://leone74.thoon.feralhosting.com</v>
      </c>
      <c r="B94" t="s">
        <v>5</v>
      </c>
      <c r="C94" t="str">
        <f>HYPERLINK("https://www.reddit.com/r/opendirectories/comments/nkajd9", "NICE COLLECTION")</f>
        <v>NICE COLLECTION</v>
      </c>
      <c r="D94" t="s">
        <v>375</v>
      </c>
      <c r="E94" t="s">
        <v>61</v>
      </c>
    </row>
    <row r="95" spans="1:5" x14ac:dyDescent="0.2">
      <c r="A95" t="str">
        <f>HYPERLINK("http://59.152.105.235/Disk-1", "http://59.152.105.235/Disk-1")</f>
        <v>http://59.152.105.235/Disk-1</v>
      </c>
      <c r="B95" t="s">
        <v>5</v>
      </c>
      <c r="C95" t="str">
        <f>HYPERLINK("https://www.reddit.com/r/opendirectories/comments/nkajd9", "NICE COLLECTION")</f>
        <v>NICE COLLECTION</v>
      </c>
      <c r="D95" t="s">
        <v>375</v>
      </c>
      <c r="E95" t="s">
        <v>61</v>
      </c>
    </row>
    <row r="96" spans="1:5" x14ac:dyDescent="0.2">
      <c r="A96" t="str">
        <f>HYPERLINK("https://work.rezom.eu", "https://work.rezom.eu")</f>
        <v>https://work.rezom.eu</v>
      </c>
      <c r="B96" t="s">
        <v>5</v>
      </c>
      <c r="C96" t="str">
        <f>HYPERLINK("https://www.reddit.com/r/opendirectories/comments/nkajd9", "NICE COLLECTION")</f>
        <v>NICE COLLECTION</v>
      </c>
      <c r="D96" t="s">
        <v>375</v>
      </c>
      <c r="E96" t="s">
        <v>61</v>
      </c>
    </row>
    <row r="97" spans="1:5" x14ac:dyDescent="0.2">
      <c r="A97" t="str">
        <f>HYPERLINK("http://www.artemka.spb.ru", "http://www.artemka.spb.ru")</f>
        <v>http://www.artemka.spb.ru</v>
      </c>
      <c r="B97" t="s">
        <v>5</v>
      </c>
      <c r="C97" t="str">
        <f>HYPERLINK("https://www.reddit.com/r/opendirectories/comments/nkajd9", "NICE COLLECTION")</f>
        <v>NICE COLLECTION</v>
      </c>
      <c r="D97" t="s">
        <v>375</v>
      </c>
      <c r="E97" t="s">
        <v>61</v>
      </c>
    </row>
    <row r="98" spans="1:5" x14ac:dyDescent="0.2">
      <c r="A98" t="str">
        <f>HYPERLINK("https://valvearchive.com", "https://valvearchive.com")</f>
        <v>https://valvearchive.com</v>
      </c>
      <c r="B98" t="s">
        <v>5</v>
      </c>
      <c r="C98" t="str">
        <f>HYPERLINK("https://www.reddit.com/r/opendirectories/comments/gt4tt9", "Valve Archive Fan OD")</f>
        <v>Valve Archive Fan OD</v>
      </c>
      <c r="D98" t="s">
        <v>379</v>
      </c>
      <c r="E98" t="s">
        <v>61</v>
      </c>
    </row>
    <row r="99" spans="1:5" x14ac:dyDescent="0.2">
      <c r="A99" t="str">
        <f>HYPERLINK("https://leme.me/verah/mp3", "https://leme.me/verah/mp3")</f>
        <v>https://leme.me/verah/mp3</v>
      </c>
      <c r="B99" t="s">
        <v>5</v>
      </c>
      <c r="C99" t="str">
        <f>HYPERLINK("https://www.reddit.com/r/opendirectories/comments/njfadp", "Japanese Music directory")</f>
        <v>Japanese Music directory</v>
      </c>
      <c r="D99" t="s">
        <v>461</v>
      </c>
      <c r="E99" t="s">
        <v>63</v>
      </c>
    </row>
    <row r="100" spans="1:5" x14ac:dyDescent="0.2">
      <c r="A100" t="str">
        <f>HYPERLINK("http://alliza.iptime.org/mobile", "http://alliza.iptime.org/mobile")</f>
        <v>http://alliza.iptime.org/mobile</v>
      </c>
      <c r="B100" t="s">
        <v>5</v>
      </c>
      <c r="C100" t="str">
        <f>HYPERLINK("https://www.reddit.com/r/opendirectories/comments/ndaqhr", "Some music and other random stuff")</f>
        <v>Some music and other random stuff</v>
      </c>
      <c r="D100" t="s">
        <v>519</v>
      </c>
    </row>
    <row r="101" spans="1:5" x14ac:dyDescent="0.2">
      <c r="A101" t="str">
        <f>HYPERLINK("http://bernserver.v-comp.ch:8282/ms", "http://bernserver.v-comp.ch:8282/ms")</f>
        <v>http://bernserver.v-comp.ch:8282/ms</v>
      </c>
      <c r="B101" t="s">
        <v>5</v>
      </c>
      <c r="C101" t="str">
        <f>HYPERLINK("https://www.reddit.com/r/opendirectories/comments/n9zc9i", "nice open dir - FLAC")</f>
        <v>nice open dir - FLAC</v>
      </c>
      <c r="D101" t="s">
        <v>462</v>
      </c>
    </row>
    <row r="102" spans="1:5" x14ac:dyDescent="0.2">
      <c r="A102" t="str">
        <f>HYPERLINK("https://guitarvoice.com/wp-content/uploads", "https://guitarvoice.com/wp-content/uploads")</f>
        <v>https://guitarvoice.com/wp-content/uploads</v>
      </c>
      <c r="B102" t="s">
        <v>5</v>
      </c>
      <c r="C102" t="str">
        <f>HYPERLINK("https://www.reddit.com/r/opendirectories/comments/n53ldc", "Guitar-less MP3's of thousands of songs - great for guitar practice")</f>
        <v>Guitar-less MP3's of thousands of songs - great for guitar practice</v>
      </c>
      <c r="D102" t="s">
        <v>463</v>
      </c>
    </row>
    <row r="103" spans="1:5" x14ac:dyDescent="0.2">
      <c r="A103" t="str">
        <f>HYPERLINK("http://51.15.178.223", "http://51.15.178.223")</f>
        <v>http://51.15.178.223</v>
      </c>
      <c r="B103" t="s">
        <v>5</v>
      </c>
      <c r="C103" t="str">
        <f>HYPERLINK("https://www.reddit.com/r/opendirectories/comments/bx2qjh", "[FR/EN] Movies / TV Shows / Softwares / Music / Misc")</f>
        <v>[FR/EN] Movies / TV Shows / Softwares / Music / Misc</v>
      </c>
      <c r="D103" t="s">
        <v>273</v>
      </c>
      <c r="E103" t="s">
        <v>51</v>
      </c>
    </row>
    <row r="104" spans="1:5" x14ac:dyDescent="0.2">
      <c r="A104" t="str">
        <f>HYPERLINK("https://www.buymixtapes.com/upload/albums", "https://www.buymixtapes.com/upload/albums")</f>
        <v>https://www.buymixtapes.com/upload/albums</v>
      </c>
      <c r="B104" t="s">
        <v>5</v>
      </c>
      <c r="C104" t="str">
        <f>HYPERLINK("https://www.reddit.com/r/opendirectories/comments/mw3ix0", "Some MP3, mixtapes")</f>
        <v>Some MP3, mixtapes</v>
      </c>
      <c r="D104" t="s">
        <v>34</v>
      </c>
    </row>
    <row r="105" spans="1:5" x14ac:dyDescent="0.2">
      <c r="A105" t="str">
        <f>HYPERLINK("http://lutinmalin.demeter.feralhosting.com", "http://lutinmalin.demeter.feralhosting.com")</f>
        <v>http://lutinmalin.demeter.feralhosting.com</v>
      </c>
      <c r="B105" t="s">
        <v>5</v>
      </c>
      <c r="C105" t="str">
        <f>HYPERLINK("https://www.reddit.com/r/opendirectories/comments/mkywfa", "500 greatest song!")</f>
        <v>500 greatest song!</v>
      </c>
      <c r="D105" t="s">
        <v>386</v>
      </c>
    </row>
    <row r="106" spans="1:5" x14ac:dyDescent="0.2">
      <c r="A106" t="str">
        <f>HYPERLINK("http://nordserv.no", "http://nordserv.no")</f>
        <v>http://nordserv.no</v>
      </c>
      <c r="B106" t="s">
        <v>5</v>
      </c>
      <c r="C106" t="str">
        <f>HYPERLINK("https://www.reddit.com/r/opendirectories/comments/jdld03", "NICE DIR (MP3@320)")</f>
        <v>NICE DIR (MP3@320)</v>
      </c>
      <c r="D106" t="s">
        <v>466</v>
      </c>
      <c r="E106" t="s">
        <v>14</v>
      </c>
    </row>
    <row r="107" spans="1:5" x14ac:dyDescent="0.2">
      <c r="A107" t="str">
        <f>HYPERLINK("https://christianityworks.com/resource", "https://christianityworks.com/resource")</f>
        <v>https://christianityworks.com/resource</v>
      </c>
      <c r="B107" t="s">
        <v>5</v>
      </c>
      <c r="C107" t="str">
        <f>HYPERLINK("https://www.reddit.com/r/opendirectories/comments/mgjger", "So much christian stuff :3 audios specifically")</f>
        <v>So much christian stuff :3 audios specifically</v>
      </c>
      <c r="D107" t="s">
        <v>383</v>
      </c>
    </row>
    <row r="108" spans="1:5" x14ac:dyDescent="0.2">
      <c r="A108" t="str">
        <f>HYPERLINK("http://66.181.33.114/OldSkool", "http://66.181.33.114/OldSkool")</f>
        <v>http://66.181.33.114/OldSkool</v>
      </c>
      <c r="B108" t="s">
        <v>5</v>
      </c>
      <c r="C108" t="str">
        <f>HYPERLINK("https://www.reddit.com/r/opendirectories/comments/mgdzf7", "music")</f>
        <v>music</v>
      </c>
      <c r="D108" t="s">
        <v>383</v>
      </c>
    </row>
    <row r="109" spans="1:5" x14ac:dyDescent="0.2">
      <c r="A109" t="str">
        <f>HYPERLINK("http://msp.ucsd.edu", "http://msp.ucsd.edu")</f>
        <v>http://msp.ucsd.edu</v>
      </c>
      <c r="B109" t="s">
        <v>5</v>
      </c>
      <c r="C109" t="str">
        <f>HYPERLINK("https://www.reddit.com/r/opendirectories/comments/mf0wub", "UCSD Electronic Music Program")</f>
        <v>UCSD Electronic Music Program</v>
      </c>
      <c r="D109" t="s">
        <v>42</v>
      </c>
    </row>
    <row r="110" spans="1:5" x14ac:dyDescent="0.2">
      <c r="A110" t="str">
        <f>HYPERLINK("https://www.rogerhodgson.com/documents", "https://www.rogerhodgson.com/documents")</f>
        <v>https://www.rogerhodgson.com/documents</v>
      </c>
      <c r="B110" t="s">
        <v>5</v>
      </c>
      <c r="C110" t="str">
        <f>HYPERLINK("https://www.reddit.com/r/opendirectories/comments/mezs8v", "Supertramp Stockpile")</f>
        <v>Supertramp Stockpile</v>
      </c>
      <c r="D110" t="s">
        <v>42</v>
      </c>
    </row>
    <row r="111" spans="1:5" x14ac:dyDescent="0.2">
      <c r="A111" t="str">
        <f>HYPERLINK("http://c-73-88-44-174.hsd1.mn.comcast.net/MusicArchive", "http://c-73-88-44-174.hsd1.mn.comcast.net/MusicArchive")</f>
        <v>http://c-73-88-44-174.hsd1.mn.comcast.net/MusicArchive</v>
      </c>
      <c r="B111" t="s">
        <v>5</v>
      </c>
      <c r="C111" t="str">
        <f>HYPERLINK("https://www.reddit.com/r/opendirectories/comments/dt5yf0", "Music from the 1930's through 1950's - Big Band, Jazz, Polka, etc.")</f>
        <v>Music from the 1930's through 1950's - Big Band, Jazz, Polka, etc.</v>
      </c>
      <c r="D111" t="s">
        <v>467</v>
      </c>
    </row>
    <row r="112" spans="1:5" x14ac:dyDescent="0.2">
      <c r="A112" t="str">
        <f>HYPERLINK("http://104.238.180.96", "http://104.238.180.96")</f>
        <v>http://104.238.180.96</v>
      </c>
      <c r="B112" t="s">
        <v>5</v>
      </c>
      <c r="C112" t="str">
        <f>HYPERLINK("https://www.reddit.com/r/opendirectories/comments/m6844m", "nursery rhymes")</f>
        <v>nursery rhymes</v>
      </c>
      <c r="D112" t="s">
        <v>43</v>
      </c>
    </row>
    <row r="113" spans="1:4" x14ac:dyDescent="0.2">
      <c r="A113" t="str">
        <f>HYPERLINK("http://antoine.tv", "http://antoine.tv")</f>
        <v>http://antoine.tv</v>
      </c>
      <c r="B113" t="s">
        <v>5</v>
      </c>
      <c r="C113" t="str">
        <f>HYPERLINK("https://www.reddit.com/r/opendirectories/comments/m5gyg4", "Directory containing a bunch of short documentary clips")</f>
        <v>Directory containing a bunch of short documentary clips</v>
      </c>
      <c r="D113" t="s">
        <v>44</v>
      </c>
    </row>
    <row r="114" spans="1:4" x14ac:dyDescent="0.2">
      <c r="A114" t="str">
        <f>HYPERLINK("http://vjloco.edge.netbroadcasting.tv", "http://vjloco.edge.netbroadcasting.tv")</f>
        <v>http://vjloco.edge.netbroadcasting.tv</v>
      </c>
      <c r="B114" t="s">
        <v>5</v>
      </c>
      <c r="C114" t="str">
        <f>HYPERLINK("https://www.reddit.com/r/opendirectories/comments/m4nfyz", "Very High Quality Music Videos")</f>
        <v>Very High Quality Music Videos</v>
      </c>
      <c r="D114" t="s">
        <v>45</v>
      </c>
    </row>
    <row r="115" spans="1:4" x14ac:dyDescent="0.2">
      <c r="A115" t="str">
        <f>HYPERLINK("https://dl1.mifamusic.ir/Music", "https://dl1.mifamusic.ir/Music")</f>
        <v>https://dl1.mifamusic.ir/Music</v>
      </c>
      <c r="B115" t="s">
        <v>5</v>
      </c>
      <c r="C115" t="str">
        <f>HYPERLINK("https://www.reddit.com/r/opendirectories/comments/jse3jd", "Various Music from all around the world")</f>
        <v>Various Music from all around the world</v>
      </c>
      <c r="D115" t="s">
        <v>266</v>
      </c>
    </row>
    <row r="116" spans="1:4" x14ac:dyDescent="0.2">
      <c r="A116" t="str">
        <f>HYPERLINK("https://teresadapraiamidis.com/Mp3", "https://teresadapraiamidis.com/Mp3")</f>
        <v>https://teresadapraiamidis.com/Mp3</v>
      </c>
      <c r="B116" t="s">
        <v>5</v>
      </c>
      <c r="C116" t="str">
        <f>HYPERLINK("https://www.reddit.com/r/opendirectories/comments/m3j5rw", "Music...again..")</f>
        <v>Music...again..</v>
      </c>
      <c r="D116" t="s">
        <v>282</v>
      </c>
    </row>
    <row r="117" spans="1:4" x14ac:dyDescent="0.2">
      <c r="A117" t="str">
        <f>HYPERLINK("http://playwap.mobi/dl/load", "http://playwap.mobi/dl/load")</f>
        <v>http://playwap.mobi/dl/load</v>
      </c>
      <c r="B117" t="s">
        <v>5</v>
      </c>
      <c r="C117" t="str">
        <f>HYPERLINK("https://www.reddit.com/r/opendirectories/comments/m3itag", "Music Directory..")</f>
        <v>Music Directory..</v>
      </c>
      <c r="D117" t="s">
        <v>282</v>
      </c>
    </row>
    <row r="118" spans="1:4" x14ac:dyDescent="0.2">
      <c r="A118" t="str">
        <f>HYPERLINK("http://vuutube.com/wp-content/uploads", "http://vuutube.com/wp-content/uploads")</f>
        <v>http://vuutube.com/wp-content/uploads</v>
      </c>
      <c r="B118" t="s">
        <v>5</v>
      </c>
      <c r="C118" t="str">
        <f>HYPERLINK("https://www.reddit.com/r/opendirectories/comments/m2957d", "Some odd Clips..")</f>
        <v>Some odd Clips..</v>
      </c>
      <c r="D118" t="s">
        <v>283</v>
      </c>
    </row>
    <row r="119" spans="1:4" x14ac:dyDescent="0.2">
      <c r="A119" t="str">
        <f>HYPERLINK("https://dreamboybondage.com/affiliate", "https://dreamboybondage.com/affiliate")</f>
        <v>https://dreamboybondage.com/affiliate</v>
      </c>
      <c r="B119" t="s">
        <v>5</v>
      </c>
      <c r="C119" t="str">
        <f>HYPERLINK("https://www.reddit.com/r/opendirectories/comments/m1yatb", "Transvestites....")</f>
        <v>Transvestites....</v>
      </c>
      <c r="D119" t="s">
        <v>283</v>
      </c>
    </row>
    <row r="120" spans="1:4" x14ac:dyDescent="0.2">
      <c r="A120" t="str">
        <f>HYPERLINK("https://www.rhinologyjournal.com/Documents", "https://www.rhinologyjournal.com/Documents")</f>
        <v>https://www.rhinologyjournal.com/Documents</v>
      </c>
      <c r="B120" t="s">
        <v>5</v>
      </c>
      <c r="C120" t="str">
        <f>HYPERLINK("https://www.reddit.com/r/opendirectories/comments/m1796x", "Rhinology papers")</f>
        <v>Rhinology papers</v>
      </c>
      <c r="D120" t="s">
        <v>520</v>
      </c>
    </row>
    <row r="121" spans="1:4" x14ac:dyDescent="0.2">
      <c r="A121" t="str">
        <f>HYPERLINK("http://oksure.com/audio", "http://oksure.com/audio")</f>
        <v>http://oksure.com/audio</v>
      </c>
      <c r="B121" t="s">
        <v>5</v>
      </c>
      <c r="C121" t="str">
        <f t="shared" ref="C121:C128" si="6">HYPERLINK("https://www.reddit.com/r/opendirectories/comments/lztfm8", "Just some mp3's")</f>
        <v>Just some mp3's</v>
      </c>
      <c r="D121" t="s">
        <v>285</v>
      </c>
    </row>
    <row r="122" spans="1:4" x14ac:dyDescent="0.2">
      <c r="A122" t="str">
        <f>HYPERLINK("http://75.86.91.167", "http://75.86.91.167")</f>
        <v>http://75.86.91.167</v>
      </c>
      <c r="B122" t="s">
        <v>5</v>
      </c>
      <c r="C122" t="str">
        <f t="shared" si="6"/>
        <v>Just some mp3's</v>
      </c>
      <c r="D122" t="s">
        <v>285</v>
      </c>
    </row>
    <row r="123" spans="1:4" x14ac:dyDescent="0.2">
      <c r="A123" t="str">
        <f>HYPERLINK("https://preview.horizonsmusic.co.uk", "https://preview.horizonsmusic.co.uk")</f>
        <v>https://preview.horizonsmusic.co.uk</v>
      </c>
      <c r="B123" t="s">
        <v>5</v>
      </c>
      <c r="C123" t="str">
        <f t="shared" si="6"/>
        <v>Just some mp3's</v>
      </c>
      <c r="D123" t="s">
        <v>285</v>
      </c>
    </row>
    <row r="124" spans="1:4" x14ac:dyDescent="0.2">
      <c r="A124" t="str">
        <f>HYPERLINK("http://www.sbg.bio.ic.ac.uk/~brj03/music", "http://www.sbg.bio.ic.ac.uk/~brj03/music")</f>
        <v>http://www.sbg.bio.ic.ac.uk/~brj03/music</v>
      </c>
      <c r="B124" t="s">
        <v>5</v>
      </c>
      <c r="C124" t="str">
        <f t="shared" si="6"/>
        <v>Just some mp3's</v>
      </c>
      <c r="D124" t="s">
        <v>285</v>
      </c>
    </row>
    <row r="125" spans="1:4" x14ac:dyDescent="0.2">
      <c r="A125" t="str">
        <f>HYPERLINK("http://198.11.224.203/11LRNI/PUBLIC", "http://198.11.224.203/11LRNI/PUBLIC")</f>
        <v>http://198.11.224.203/11LRNI/PUBLIC</v>
      </c>
      <c r="B125" t="s">
        <v>5</v>
      </c>
      <c r="C125" t="str">
        <f t="shared" si="6"/>
        <v>Just some mp3's</v>
      </c>
      <c r="D125" t="s">
        <v>285</v>
      </c>
    </row>
    <row r="126" spans="1:4" x14ac:dyDescent="0.2">
      <c r="A126" t="str">
        <f>HYPERLINK("https://files.duspectacle.com/mp3", "https://files.duspectacle.com/mp3")</f>
        <v>https://files.duspectacle.com/mp3</v>
      </c>
      <c r="B126" t="s">
        <v>5</v>
      </c>
      <c r="C126" t="str">
        <f t="shared" si="6"/>
        <v>Just some mp3's</v>
      </c>
      <c r="D126" t="s">
        <v>285</v>
      </c>
    </row>
    <row r="127" spans="1:4" x14ac:dyDescent="0.2">
      <c r="A127" t="str">
        <f>HYPERLINK("http://baseshare.com/uploads/zips", "http://baseshare.com/uploads/zips")</f>
        <v>http://baseshare.com/uploads/zips</v>
      </c>
      <c r="B127" t="s">
        <v>5</v>
      </c>
      <c r="C127" t="str">
        <f t="shared" si="6"/>
        <v>Just some mp3's</v>
      </c>
      <c r="D127" t="s">
        <v>285</v>
      </c>
    </row>
    <row r="128" spans="1:4" x14ac:dyDescent="0.2">
      <c r="A128" t="str">
        <f>HYPERLINK("https://bootiemashup.com/wp-content/uploads", "https://bootiemashup.com/wp-content/uploads")</f>
        <v>https://bootiemashup.com/wp-content/uploads</v>
      </c>
      <c r="B128" t="s">
        <v>5</v>
      </c>
      <c r="C128" t="str">
        <f t="shared" si="6"/>
        <v>Just some mp3's</v>
      </c>
      <c r="D128" t="s">
        <v>285</v>
      </c>
    </row>
    <row r="129" spans="1:5" x14ac:dyDescent="0.2">
      <c r="A129" t="str">
        <f>HYPERLINK("http://109.200.155.175/Музыка", "http://109.200.155.175/Музыка")</f>
        <v>http://109.200.155.175/Музыка</v>
      </c>
      <c r="B129" t="s">
        <v>5</v>
      </c>
      <c r="C129" t="str">
        <f>HYPERLINK("https://www.reddit.com/r/opendirectories/comments/li91r8", "Black Sabbath - Paranoid (1970) / Deep Purple - Machine Head (1973) / Pink Floyd - The Endless River (Deluxe) CD &amp;amp; Bluray + Lots of other stuff!!")</f>
        <v>Black Sabbath - Paranoid (1970) / Deep Purple - Machine Head (1973) / Pink Floyd - The Endless River (Deluxe) CD &amp;amp; Bluray + Lots of other stuff!!</v>
      </c>
      <c r="D129" t="s">
        <v>290</v>
      </c>
      <c r="E129" t="s">
        <v>156</v>
      </c>
    </row>
    <row r="130" spans="1:5" x14ac:dyDescent="0.2">
      <c r="A130" t="str">
        <f>HYPERLINK("http://109.200.155.175", "http://109.200.155.175")</f>
        <v>http://109.200.155.175</v>
      </c>
      <c r="B130" t="s">
        <v>5</v>
      </c>
      <c r="C130" t="str">
        <f>HYPERLINK("https://www.reddit.com/r/opendirectories/comments/li91r8", "Black Sabbath - Paranoid (1970) / Deep Purple - Machine Head (1973) / Pink Floyd - The Endless River (Deluxe) CD &amp;amp; Bluray + Lots of other stuff!!")</f>
        <v>Black Sabbath - Paranoid (1970) / Deep Purple - Machine Head (1973) / Pink Floyd - The Endless River (Deluxe) CD &amp;amp; Bluray + Lots of other stuff!!</v>
      </c>
      <c r="D130" t="s">
        <v>290</v>
      </c>
      <c r="E130" t="s">
        <v>156</v>
      </c>
    </row>
    <row r="131" spans="1:5" x14ac:dyDescent="0.2">
      <c r="A131" t="str">
        <f>HYPERLINK("http://b1g-arch1ve.buho.ch", "http://b1g-arch1ve.buho.ch")</f>
        <v>http://b1g-arch1ve.buho.ch</v>
      </c>
      <c r="B131" t="s">
        <v>5</v>
      </c>
      <c r="C131" t="str">
        <f>HYPERLINK("https://www.reddit.com/r/opendirectories/comments/dlx0do", "Chill_Vibe, Ambient Electronica &amp;lt;music&amp;gt;")</f>
        <v>Chill_Vibe, Ambient Electronica &amp;lt;music&amp;gt;</v>
      </c>
      <c r="D131" t="s">
        <v>470</v>
      </c>
    </row>
    <row r="132" spans="1:5" x14ac:dyDescent="0.2">
      <c r="A132" t="str">
        <f>HYPERLINK("http://www.groovydomain.com/gallery", "http://www.groovydomain.com/gallery")</f>
        <v>http://www.groovydomain.com/gallery</v>
      </c>
      <c r="B132" t="s">
        <v>5</v>
      </c>
      <c r="C132" t="str">
        <f>HYPERLINK("https://www.reddit.com/r/opendirectories/comments/5dzb6s", "Rock MP3 Albums")</f>
        <v>Rock MP3 Albums</v>
      </c>
      <c r="D132" t="s">
        <v>211</v>
      </c>
    </row>
    <row r="133" spans="1:5" x14ac:dyDescent="0.2">
      <c r="A133" t="str">
        <f>HYPERLINK("http://35.171.144.223", "http://35.171.144.223")</f>
        <v>http://35.171.144.223</v>
      </c>
      <c r="B133" t="s">
        <v>5</v>
      </c>
      <c r="C133" t="str">
        <f>HYPERLINK("https://www.reddit.com/r/opendirectories/comments/l1j5i7", "Bunch of VR Porn")</f>
        <v>Bunch of VR Porn</v>
      </c>
      <c r="D133" t="s">
        <v>293</v>
      </c>
    </row>
    <row r="134" spans="1:5" x14ac:dyDescent="0.2">
      <c r="A134" t="str">
        <f>HYPERLINK("http://jacobsm.com/geedryve/records", "http://jacobsm.com/geedryve/records")</f>
        <v>http://jacobsm.com/geedryve/records</v>
      </c>
      <c r="B134" t="s">
        <v>5</v>
      </c>
      <c r="C134" t="str">
        <f>HYPERLINK("https://www.reddit.com/r/opendirectories/comments/la0ba6", "A great collection of UK punk, new wave, post punk MP3’s")</f>
        <v>A great collection of UK punk, new wave, post punk MP3’s</v>
      </c>
      <c r="D134" t="s">
        <v>471</v>
      </c>
    </row>
    <row r="135" spans="1:5" x14ac:dyDescent="0.2">
      <c r="A135" t="str">
        <f>HYPERLINK("https://download.tuxfamily.org", "https://download.tuxfamily.org")</f>
        <v>https://download.tuxfamily.org</v>
      </c>
      <c r="B135" t="s">
        <v>5</v>
      </c>
      <c r="C135" t="str">
        <f>HYPERLINK("https://www.reddit.com/r/opendirectories/comments/etfrtz", "big ass directory (roms for sure, not sure what else)")</f>
        <v>big ass directory (roms for sure, not sure what else)</v>
      </c>
      <c r="D135" t="s">
        <v>472</v>
      </c>
    </row>
    <row r="136" spans="1:5" x14ac:dyDescent="0.2">
      <c r="A136" t="str">
        <f>HYPERLINK("http://hcmaslov.d-real.sci-nnov.ru", "http://hcmaslov.d-real.sci-nnov.ru")</f>
        <v>http://hcmaslov.d-real.sci-nnov.ru</v>
      </c>
      <c r="B136" t="s">
        <v>5</v>
      </c>
      <c r="C136" t="str">
        <f>HYPERLINK("https://www.reddit.com/r/opendirectories/comments/6vw8h5", "Russian guy's public folder of mp3s, family photos, cat pictures, and documents")</f>
        <v>Russian guy's public folder of mp3s, family photos, cat pictures, and documents</v>
      </c>
      <c r="D136" t="s">
        <v>393</v>
      </c>
      <c r="E136" t="s">
        <v>156</v>
      </c>
    </row>
    <row r="137" spans="1:5" x14ac:dyDescent="0.2">
      <c r="A137" t="str">
        <f>HYPERLINK("https://themamaship.com/music", "https://themamaship.com/music")</f>
        <v>https://themamaship.com/music</v>
      </c>
      <c r="B137" t="s">
        <v>5</v>
      </c>
      <c r="C137" t="str">
        <f>HYPERLINK("https://www.reddit.com/r/opendirectories/comments/kzlrm2", "90's Music Collection, ~400 MP3's")</f>
        <v>90's Music Collection, ~400 MP3's</v>
      </c>
      <c r="D137" t="s">
        <v>473</v>
      </c>
    </row>
    <row r="138" spans="1:5" x14ac:dyDescent="0.2">
      <c r="A138" t="str">
        <f>HYPERLINK("http://hitagi.lexs.blasux.ru", "http://hitagi.lexs.blasux.ru")</f>
        <v>http://hitagi.lexs.blasux.ru</v>
      </c>
      <c r="B138" t="s">
        <v>5</v>
      </c>
      <c r="C138" t="str">
        <f>HYPERLINK("https://www.reddit.com/r/opendirectories/comments/kxesy2", "Music albums etc.")</f>
        <v>Music albums etc.</v>
      </c>
      <c r="D138" t="s">
        <v>394</v>
      </c>
    </row>
    <row r="139" spans="1:5" x14ac:dyDescent="0.2">
      <c r="A139" t="str">
        <f>HYPERLINK("https://chiru.no/dl/Anime%20lossless%20OP%20ED%20IN%20collection", "https://chiru.no/dl/Anime%20lossless%20OP%20ED%20IN%20collection")</f>
        <v>https://chiru.no/dl/Anime%20lossless%20OP%20ED%20IN%20collection</v>
      </c>
      <c r="B139" t="s">
        <v>5</v>
      </c>
      <c r="C139" t="str">
        <f>HYPERLINK("https://www.reddit.com/r/opendirectories/comments/kxcqp1", "A lot of FLAC music from anime + fast download speed")</f>
        <v>A lot of FLAC music from anime + fast download speed</v>
      </c>
      <c r="D139" t="s">
        <v>394</v>
      </c>
    </row>
    <row r="140" spans="1:5" x14ac:dyDescent="0.2">
      <c r="A140" t="str">
        <f>HYPERLINK("http://www.djnutte.com/Music", "http://www.djnutte.com/Music")</f>
        <v>http://www.djnutte.com/Music</v>
      </c>
      <c r="B140" t="s">
        <v>5</v>
      </c>
      <c r="C140" t="str">
        <f>HYPERLINK("https://www.reddit.com/r/opendirectories/comments/kx4bu3", "Discographies &amp;gt; Bee Gees - Led Zeppelin - Pink Floyd - Van Halen - Roger Waters - Syd Barrett")</f>
        <v>Discographies &amp;gt; Bee Gees - Led Zeppelin - Pink Floyd - Van Halen - Roger Waters - Syd Barrett</v>
      </c>
      <c r="D140" t="s">
        <v>394</v>
      </c>
    </row>
    <row r="141" spans="1:5" x14ac:dyDescent="0.2">
      <c r="A141" t="str">
        <f>HYPERLINK("http://148.72.150.188", "http://148.72.150.188")</f>
        <v>http://148.72.150.188</v>
      </c>
      <c r="B141" t="s">
        <v>5</v>
      </c>
      <c r="C141" t="str">
        <f>HYPERLINK("https://www.reddit.com/r/opendirectories/comments/ksp6l3", "If random content is interesting for you")</f>
        <v>If random content is interesting for you</v>
      </c>
      <c r="D141" t="s">
        <v>521</v>
      </c>
    </row>
    <row r="142" spans="1:5" x14ac:dyDescent="0.2">
      <c r="A142" t="str">
        <f>HYPERLINK("http://matthewlombaerde.com/Personal_Music", "http://matthewlombaerde.com/Personal_Music")</f>
        <v>http://matthewlombaerde.com/Personal_Music</v>
      </c>
      <c r="B142" t="s">
        <v>5</v>
      </c>
      <c r="C142" t="str">
        <f>HYPERLINK("https://www.reddit.com/r/opendirectories/comments/klbj1i", "MUSIC - assortment of who knows what")</f>
        <v>MUSIC - assortment of who knows what</v>
      </c>
      <c r="D142" t="s">
        <v>297</v>
      </c>
    </row>
    <row r="143" spans="1:5" x14ac:dyDescent="0.2">
      <c r="A143" t="str">
        <f>HYPERLINK("http://www.lemondemon.com/Lemon%20Demon%20-%20First%20four%20albums", "http://www.lemondemon.com/Lemon%20Demon%20-%20First%20four%20albums")</f>
        <v>http://www.lemondemon.com/Lemon%20Demon%20-%20First%20four%20albums</v>
      </c>
      <c r="B143" t="s">
        <v>5</v>
      </c>
      <c r="C143" t="str">
        <f>HYPERLINK("https://www.reddit.com/r/opendirectories/comments/kkt0o8", "Lemon Demon's First Four Albums (free from his site, not piracy)")</f>
        <v>Lemon Demon's First Four Albums (free from his site, not piracy)</v>
      </c>
      <c r="D143" t="s">
        <v>297</v>
      </c>
    </row>
    <row r="144" spans="1:5" x14ac:dyDescent="0.2">
      <c r="A144" t="str">
        <f>HYPERLINK("http://hybridized.org", "http://hybridized.org")</f>
        <v>http://hybridized.org</v>
      </c>
      <c r="B144" t="s">
        <v>5</v>
      </c>
      <c r="C144" t="str">
        <f>HYPERLINK("https://www.reddit.com/r/opendirectories/comments/kdzogb", "Huge collection of 10-25 year old electronic DJ sets.")</f>
        <v>Huge collection of 10-25 year old electronic DJ sets.</v>
      </c>
      <c r="D144" t="s">
        <v>522</v>
      </c>
    </row>
    <row r="145" spans="1:5" x14ac:dyDescent="0.2">
      <c r="A145" t="str">
        <f>HYPERLINK("https://audio.norecords.org", "https://audio.norecords.org")</f>
        <v>https://audio.norecords.org</v>
      </c>
      <c r="B145" t="s">
        <v>5</v>
      </c>
      <c r="C145" t="str">
        <f>HYPERLINK("https://www.reddit.com/r/opendirectories/comments/kcjsxy", "A whole record label's releases")</f>
        <v>A whole record label's releases</v>
      </c>
      <c r="D145" t="s">
        <v>523</v>
      </c>
    </row>
    <row r="146" spans="1:5" x14ac:dyDescent="0.2">
      <c r="A146" t="str">
        <f>HYPERLINK("http://www.ashleecadell.com", "http://www.ashleecadell.com")</f>
        <v>http://www.ashleecadell.com</v>
      </c>
      <c r="B146" t="s">
        <v>5</v>
      </c>
      <c r="C146" t="str">
        <f>HYPERLINK("https://www.reddit.com/r/opendirectories/comments/jj3fas", "Tons of MP3s, Good Speeds")</f>
        <v>Tons of MP3s, Good Speeds</v>
      </c>
      <c r="D146" t="s">
        <v>474</v>
      </c>
    </row>
    <row r="147" spans="1:5" x14ac:dyDescent="0.2">
      <c r="A147" t="str">
        <f>HYPERLINK("http://www.splattermind.com", "http://www.splattermind.com")</f>
        <v>http://www.splattermind.com</v>
      </c>
      <c r="B147" t="s">
        <v>5</v>
      </c>
      <c r="C147" t="str">
        <f>HYPERLINK("https://www.reddit.com/r/opendirectories/comments/aby1kp", "music video and audio")</f>
        <v>music video and audio</v>
      </c>
      <c r="D147" t="s">
        <v>303</v>
      </c>
    </row>
    <row r="148" spans="1:5" x14ac:dyDescent="0.2">
      <c r="A148" t="str">
        <f>HYPERLINK("http://pc.joshw.info", "http://pc.joshw.info")</f>
        <v>http://pc.joshw.info</v>
      </c>
      <c r="B148" t="s">
        <v>5</v>
      </c>
      <c r="C148" t="str">
        <f>HYPERLINK("https://www.reddit.com/r/opendirectories/comments/36my2s", "Collection of old &amp;amp; new games sorted by alphabet")</f>
        <v>Collection of old &amp;amp; new games sorted by alphabet</v>
      </c>
      <c r="D148" t="s">
        <v>304</v>
      </c>
    </row>
    <row r="149" spans="1:5" x14ac:dyDescent="0.2">
      <c r="A149" t="str">
        <f>HYPERLINK("http://ftp.kameli.net", "http://ftp.kameli.net")</f>
        <v>http://ftp.kameli.net</v>
      </c>
      <c r="B149" t="s">
        <v>5</v>
      </c>
      <c r="C149" t="str">
        <f>HYPERLINK("https://www.reddit.com/r/opendirectories/comments/331oq2", "Classic Video Game Console Commercials")</f>
        <v>Classic Video Game Console Commercials</v>
      </c>
      <c r="D149" t="s">
        <v>306</v>
      </c>
    </row>
    <row r="150" spans="1:5" x14ac:dyDescent="0.2">
      <c r="A150" t="str">
        <f>HYPERLINK("https://home.pilsfree.net", "https://home.pilsfree.net")</f>
        <v>https://home.pilsfree.net</v>
      </c>
      <c r="B150" t="s">
        <v>5</v>
      </c>
      <c r="C150" t="str">
        <f>HYPERLINK("https://www.reddit.com/r/opendirectories/comments/ape43b", "list of RE-POST's")</f>
        <v>list of RE-POST's</v>
      </c>
      <c r="D150" t="s">
        <v>396</v>
      </c>
    </row>
    <row r="151" spans="1:5" x14ac:dyDescent="0.2">
      <c r="A151" t="str">
        <f>HYPERLINK("http://45.93.83.161", "http://45.93.83.161")</f>
        <v>http://45.93.83.161</v>
      </c>
      <c r="B151" t="s">
        <v>5</v>
      </c>
      <c r="C151" t="str">
        <f>HYPERLINK("https://www.reddit.com/r/opendirectories/comments/jue87o", "Want to travel during the lockdown ? Welcome to Dominican Republic - Movies, shows, music ... in spanish obviously")</f>
        <v>Want to travel during the lockdown ? Welcome to Dominican Republic - Movies, shows, music ... in spanish obviously</v>
      </c>
      <c r="D151" t="s">
        <v>398</v>
      </c>
      <c r="E151" t="s">
        <v>377</v>
      </c>
    </row>
    <row r="152" spans="1:5" x14ac:dyDescent="0.2">
      <c r="A152" t="str">
        <f>HYPERLINK("http://ir.vavmusic.com", "http://ir.vavmusic.com")</f>
        <v>http://ir.vavmusic.com</v>
      </c>
      <c r="B152" t="s">
        <v>5</v>
      </c>
      <c r="C152" t="str">
        <f>HYPERLINK("https://www.reddit.com/r/opendirectories/comments/jstbck", "Instrumental, gothic, classical music @ different quality")</f>
        <v>Instrumental, gothic, classical music @ different quality</v>
      </c>
      <c r="D152" t="s">
        <v>524</v>
      </c>
    </row>
    <row r="153" spans="1:5" x14ac:dyDescent="0.2">
      <c r="A153" t="str">
        <f>HYPERLINK("http://62.122.138.133", "http://62.122.138.133")</f>
        <v>http://62.122.138.133</v>
      </c>
      <c r="B153" t="s">
        <v>5</v>
      </c>
      <c r="C153" t="str">
        <f>HYPERLINK("https://www.reddit.com/r/opendirectories/comments/jse3jd", "Various Music from all around the world")</f>
        <v>Various Music from all around the world</v>
      </c>
      <c r="D153" t="s">
        <v>266</v>
      </c>
    </row>
    <row r="154" spans="1:5" x14ac:dyDescent="0.2">
      <c r="A154" t="str">
        <f>HYPERLINK("http://218.72.252.150:9004", "http://218.72.252.150:9004")</f>
        <v>http://218.72.252.150:9004</v>
      </c>
      <c r="B154" t="s">
        <v>5</v>
      </c>
      <c r="C154" t="str">
        <f>HYPERLINK("https://www.reddit.com/r/opendirectories/comments/jsa626", "JAV Galore, Hentai, Amat, ...")</f>
        <v>JAV Galore, Hentai, Amat, ...</v>
      </c>
      <c r="D154" t="s">
        <v>266</v>
      </c>
    </row>
    <row r="155" spans="1:5" x14ac:dyDescent="0.2">
      <c r="A155" t="str">
        <f>HYPERLINK("https://107.175.63.104", "https://107.175.63.104")</f>
        <v>https://107.175.63.104</v>
      </c>
      <c r="B155" t="s">
        <v>5</v>
      </c>
      <c r="C155" t="str">
        <f>HYPERLINK("https://www.reddit.com/r/opendirectories/comments/jsa626", "JAV Galore, Hentai, Amat, ...")</f>
        <v>JAV Galore, Hentai, Amat, ...</v>
      </c>
      <c r="D155" t="s">
        <v>266</v>
      </c>
    </row>
    <row r="156" spans="1:5" x14ac:dyDescent="0.2">
      <c r="A156" t="str">
        <f>HYPERLINK("http://91.205.172.13:9000", "http://91.205.172.13:9000")</f>
        <v>http://91.205.172.13:9000</v>
      </c>
      <c r="B156" t="s">
        <v>5</v>
      </c>
      <c r="C156" t="str">
        <f>HYPERLINK("https://www.reddit.com/r/opendirectories/comments/jsa626", "JAV Galore, Hentai, Amat, ...")</f>
        <v>JAV Galore, Hentai, Amat, ...</v>
      </c>
      <c r="D156" t="s">
        <v>266</v>
      </c>
    </row>
    <row r="157" spans="1:5" x14ac:dyDescent="0.2">
      <c r="A157" t="str">
        <f>HYPERLINK("https://37.187.96.179", "https://37.187.96.179")</f>
        <v>https://37.187.96.179</v>
      </c>
      <c r="B157" t="s">
        <v>5</v>
      </c>
      <c r="C157" t="str">
        <f>HYPERLINK("https://www.reddit.com/r/opendirectories/comments/jsa626", "JAV Galore, Hentai, Amat, ...")</f>
        <v>JAV Galore, Hentai, Amat, ...</v>
      </c>
      <c r="D157" t="s">
        <v>266</v>
      </c>
    </row>
    <row r="158" spans="1:5" x14ac:dyDescent="0.2">
      <c r="A158" t="str">
        <f>HYPERLINK("http://51.15.25.24", "http://51.15.25.24")</f>
        <v>http://51.15.25.24</v>
      </c>
      <c r="B158" t="s">
        <v>5</v>
      </c>
      <c r="C158" t="str">
        <f>HYPERLINK("https://www.reddit.com/r/opendirectories/comments/jsa626", "JAV Galore, Hentai, Amat, ...")</f>
        <v>JAV Galore, Hentai, Amat, ...</v>
      </c>
      <c r="D158" t="s">
        <v>266</v>
      </c>
    </row>
    <row r="159" spans="1:5" x14ac:dyDescent="0.2">
      <c r="A159" t="str">
        <f>HYPERLINK("http://www.templier.eu/VIDEO-CLIPS", "http://www.templier.eu/VIDEO-CLIPS")</f>
        <v>http://www.templier.eu/VIDEO-CLIPS</v>
      </c>
      <c r="B159" t="s">
        <v>5</v>
      </c>
      <c r="C159" t="str">
        <f>HYPERLINK("https://www.reddit.com/r/opendirectories/comments/jjo1i8", "Quiet a few music videos of varying quality.")</f>
        <v>Quiet a few music videos of varying quality.</v>
      </c>
      <c r="D159" t="s">
        <v>311</v>
      </c>
    </row>
    <row r="160" spans="1:5" x14ac:dyDescent="0.2">
      <c r="A160" t="str">
        <f>HYPERLINK("http://www.freehomepage.com/love-my-oldies/music", "http://www.freehomepage.com/love-my-oldies/music")</f>
        <v>http://www.freehomepage.com/love-my-oldies/music</v>
      </c>
      <c r="B160" t="s">
        <v>5</v>
      </c>
      <c r="C160" t="str">
        <f>HYPERLINK("https://www.reddit.com/r/opendirectories/comments/jjntkb", "Just more music...")</f>
        <v>Just more music...</v>
      </c>
      <c r="D160" t="s">
        <v>311</v>
      </c>
    </row>
    <row r="161" spans="1:4" x14ac:dyDescent="0.2">
      <c r="A161" t="str">
        <f>HYPERLINK("http://bahiabeachtenerife.com/ftp", "http://bahiabeachtenerife.com/ftp")</f>
        <v>http://bahiabeachtenerife.com/ftp</v>
      </c>
      <c r="B161" t="s">
        <v>5</v>
      </c>
      <c r="C161" t="str">
        <f>HYPERLINK("https://www.reddit.com/r/opendirectories/comments/jjkj3d", "Some Music. Parent directories have some pictures")</f>
        <v>Some Music. Parent directories have some pictures</v>
      </c>
      <c r="D161" t="s">
        <v>311</v>
      </c>
    </row>
    <row r="162" spans="1:4" x14ac:dyDescent="0.2">
      <c r="A162" t="str">
        <f>HYPERLINK("https://www.newmp3ringtone.com/funarea", "https://www.newmp3ringtone.com/funarea")</f>
        <v>https://www.newmp3ringtone.com/funarea</v>
      </c>
      <c r="B162" t="s">
        <v>5</v>
      </c>
      <c r="C162" t="str">
        <f>HYPERLINK("https://www.reddit.com/r/opendirectories/comments/j16afp", "Cell phone ringtones by the boatloads. Many of them have Indian Bollywood singing. However, some good normal ringtones as well. MP3 format.")</f>
        <v>Cell phone ringtones by the boatloads. Many of them have Indian Bollywood singing. However, some good normal ringtones as well. MP3 format.</v>
      </c>
      <c r="D162" t="s">
        <v>476</v>
      </c>
    </row>
    <row r="163" spans="1:4" x14ac:dyDescent="0.2">
      <c r="A163" t="str">
        <f>HYPERLINK("http://poetrank.ru/wp-content/uploads", "http://poetrank.ru/wp-content/uploads")</f>
        <v>http://poetrank.ru/wp-content/uploads</v>
      </c>
      <c r="B163" t="s">
        <v>5</v>
      </c>
      <c r="C163" t="str">
        <f>HYPERLINK("https://www.reddit.com/r/opendirectories/comments/iyv7wt", "Plenty of MP3 songs")</f>
        <v>Plenty of MP3 songs</v>
      </c>
      <c r="D163" t="s">
        <v>477</v>
      </c>
    </row>
    <row r="164" spans="1:4" x14ac:dyDescent="0.2">
      <c r="A164" t="str">
        <f>HYPERLINK("http://www.evanchar.com:9999", "http://www.evanchar.com:9999")</f>
        <v>http://www.evanchar.com:9999</v>
      </c>
      <c r="B164" t="s">
        <v>5</v>
      </c>
      <c r="C164" t="str">
        <f>HYPERLINK("https://www.reddit.com/r/opendirectories/comments/isitd3", "Good selection of 31 movies in AVI format. File sizes are on the small side, so don't expect jaw dropping video quality. Up Directory has a moderate sized collection of Electronic/DJ music.")</f>
        <v>Good selection of 31 movies in AVI format. File sizes are on the small side, so don't expect jaw dropping video quality. Up Directory has a moderate sized collection of Electronic/DJ music.</v>
      </c>
      <c r="D164" t="s">
        <v>314</v>
      </c>
    </row>
    <row r="165" spans="1:4" x14ac:dyDescent="0.2">
      <c r="A165" t="str">
        <f>HYPERLINK("http://103.79.77.141", "http://103.79.77.141")</f>
        <v>http://103.79.77.141</v>
      </c>
      <c r="B165" t="s">
        <v>5</v>
      </c>
      <c r="C165" t="str">
        <f>HYPERLINK("https://www.reddit.com/r/opendirectories/comments/gxfdpd", "Various Music in FLAC, WAV ... Celine Dion (cough cough), Jazz, Shiratori ...")</f>
        <v>Various Music in FLAC, WAV ... Celine Dion (cough cough), Jazz, Shiratori ...</v>
      </c>
      <c r="D165" t="s">
        <v>478</v>
      </c>
    </row>
    <row r="166" spans="1:4" x14ac:dyDescent="0.2">
      <c r="A166" t="str">
        <f>HYPERLINK("http://126.56.222.138", "http://126.56.222.138")</f>
        <v>http://126.56.222.138</v>
      </c>
      <c r="B166" t="s">
        <v>5</v>
      </c>
      <c r="C166" t="str">
        <f t="shared" ref="C166:C174" si="7">HYPERLINK("https://www.reddit.com/r/opendirectories/comments/isisat", "Various Music all around the world")</f>
        <v>Various Music all around the world</v>
      </c>
      <c r="D166" t="s">
        <v>314</v>
      </c>
    </row>
    <row r="167" spans="1:4" x14ac:dyDescent="0.2">
      <c r="A167" t="str">
        <f>HYPERLINK("http://103.241.205.8:8083", "http://103.241.205.8:8083")</f>
        <v>http://103.241.205.8:8083</v>
      </c>
      <c r="B167" t="s">
        <v>5</v>
      </c>
      <c r="C167" t="str">
        <f t="shared" si="7"/>
        <v>Various Music all around the world</v>
      </c>
      <c r="D167" t="s">
        <v>314</v>
      </c>
    </row>
    <row r="168" spans="1:4" x14ac:dyDescent="0.2">
      <c r="A168" t="str">
        <f>HYPERLINK("https://45.17.163.201", "https://45.17.163.201")</f>
        <v>https://45.17.163.201</v>
      </c>
      <c r="B168" t="s">
        <v>5</v>
      </c>
      <c r="C168" t="str">
        <f t="shared" si="7"/>
        <v>Various Music all around the world</v>
      </c>
      <c r="D168" t="s">
        <v>314</v>
      </c>
    </row>
    <row r="169" spans="1:4" x14ac:dyDescent="0.2">
      <c r="A169" t="str">
        <f>HYPERLINK("http://65.49.219.241", "http://65.49.219.241")</f>
        <v>http://65.49.219.241</v>
      </c>
      <c r="B169" t="s">
        <v>5</v>
      </c>
      <c r="C169" t="str">
        <f t="shared" si="7"/>
        <v>Various Music all around the world</v>
      </c>
      <c r="D169" t="s">
        <v>314</v>
      </c>
    </row>
    <row r="170" spans="1:4" x14ac:dyDescent="0.2">
      <c r="A170" t="str">
        <f>HYPERLINK("http://162.195.166.129", "http://162.195.166.129")</f>
        <v>http://162.195.166.129</v>
      </c>
      <c r="B170" t="s">
        <v>5</v>
      </c>
      <c r="C170" t="str">
        <f t="shared" si="7"/>
        <v>Various Music all around the world</v>
      </c>
      <c r="D170" t="s">
        <v>314</v>
      </c>
    </row>
    <row r="171" spans="1:4" x14ac:dyDescent="0.2">
      <c r="A171" t="str">
        <f>HYPERLINK("http://84.248.110.160", "http://84.248.110.160")</f>
        <v>http://84.248.110.160</v>
      </c>
      <c r="B171" t="s">
        <v>5</v>
      </c>
      <c r="C171" t="str">
        <f t="shared" si="7"/>
        <v>Various Music all around the world</v>
      </c>
      <c r="D171" t="s">
        <v>314</v>
      </c>
    </row>
    <row r="172" spans="1:4" x14ac:dyDescent="0.2">
      <c r="A172" t="str">
        <f>HYPERLINK("http://115.124.75.234:100", "http://115.124.75.234:100")</f>
        <v>http://115.124.75.234:100</v>
      </c>
      <c r="B172" t="s">
        <v>5</v>
      </c>
      <c r="C172" t="str">
        <f t="shared" si="7"/>
        <v>Various Music all around the world</v>
      </c>
      <c r="D172" t="s">
        <v>314</v>
      </c>
    </row>
    <row r="173" spans="1:4" x14ac:dyDescent="0.2">
      <c r="A173" t="str">
        <f>HYPERLINK("http://51.77.144.235", "http://51.77.144.235")</f>
        <v>http://51.77.144.235</v>
      </c>
      <c r="B173" t="s">
        <v>5</v>
      </c>
      <c r="C173" t="str">
        <f t="shared" si="7"/>
        <v>Various Music all around the world</v>
      </c>
      <c r="D173" t="s">
        <v>314</v>
      </c>
    </row>
    <row r="174" spans="1:4" x14ac:dyDescent="0.2">
      <c r="A174" t="str">
        <f>HYPERLINK("http://159.89.82.49", "http://159.89.82.49")</f>
        <v>http://159.89.82.49</v>
      </c>
      <c r="B174" t="s">
        <v>5</v>
      </c>
      <c r="C174" t="str">
        <f t="shared" si="7"/>
        <v>Various Music all around the world</v>
      </c>
      <c r="D174" t="s">
        <v>314</v>
      </c>
    </row>
    <row r="175" spans="1:4" x14ac:dyDescent="0.2">
      <c r="A175" t="str">
        <f>HYPERLINK("http://artscene.textfiles.com", "http://artscene.textfiles.com")</f>
        <v>http://artscene.textfiles.com</v>
      </c>
      <c r="B175" t="s">
        <v>5</v>
      </c>
      <c r="C175" t="str">
        <f>HYPERLINK("https://www.reddit.com/r/opendirectories/comments/is173g", "A lot of oldschool Tracker Music (Use OpenMPT to play them)")</f>
        <v>A lot of oldschool Tracker Music (Use OpenMPT to play them)</v>
      </c>
      <c r="D175" t="s">
        <v>302</v>
      </c>
    </row>
    <row r="176" spans="1:4" x14ac:dyDescent="0.2">
      <c r="A176" t="str">
        <f>HYPERLINK("http://home.thomas.pp.ua", "http://home.thomas.pp.ua")</f>
        <v>http://home.thomas.pp.ua</v>
      </c>
      <c r="B176" t="s">
        <v>5</v>
      </c>
      <c r="C176" t="str">
        <f>HYPERLINK("https://www.reddit.com/r/opendirectories/comments/inpl43", "mix by genre [MP3]")</f>
        <v>mix by genre [MP3]</v>
      </c>
      <c r="D176" t="s">
        <v>374</v>
      </c>
    </row>
    <row r="177" spans="1:5" x14ac:dyDescent="0.2">
      <c r="A177" t="str">
        <f>HYPERLINK("https://funambule.org/classique", "https://funambule.org/classique")</f>
        <v>https://funambule.org/classique</v>
      </c>
      <c r="B177" t="s">
        <v>5</v>
      </c>
      <c r="C177" t="str">
        <f>HYPERLINK("https://www.reddit.com/r/opendirectories/comments/in3kn4", "classique FLAC")</f>
        <v>classique FLAC</v>
      </c>
      <c r="D177" t="s">
        <v>479</v>
      </c>
    </row>
    <row r="178" spans="1:5" x14ac:dyDescent="0.2">
      <c r="A178" t="str">
        <f>HYPERLINK("http://192.210.237.133", "http://192.210.237.133")</f>
        <v>http://192.210.237.133</v>
      </c>
      <c r="B178" t="s">
        <v>5</v>
      </c>
      <c r="C178" t="str">
        <f>HYPERLINK("https://www.reddit.com/r/opendirectories/comments/imiimb", "some SACD")</f>
        <v>some SACD</v>
      </c>
      <c r="D178" t="s">
        <v>69</v>
      </c>
    </row>
    <row r="179" spans="1:5" x14ac:dyDescent="0.2">
      <c r="A179" t="str">
        <f>HYPERLINK("https://foggy.fansub.ovh", "https://foggy.fansub.ovh")</f>
        <v>https://foggy.fansub.ovh</v>
      </c>
      <c r="B179" t="s">
        <v>5</v>
      </c>
      <c r="C179" t="str">
        <f>HYPERLINK("https://www.reddit.com/r/opendirectories/comments/ibrsh5", "Anime/Hentai/Music/PC Games")</f>
        <v>Anime/Hentai/Music/PC Games</v>
      </c>
      <c r="D179" t="s">
        <v>401</v>
      </c>
    </row>
    <row r="180" spans="1:5" x14ac:dyDescent="0.2">
      <c r="A180" t="str">
        <f>HYPERLINK("http://192.101.188.24", "http://192.101.188.24")</f>
        <v>http://192.101.188.24</v>
      </c>
      <c r="B180" t="s">
        <v>5</v>
      </c>
      <c r="C180" t="str">
        <f>HYPERLINK("https://www.reddit.com/r/opendirectories/comments/ibrhno", "Misc Music and a few other things")</f>
        <v>Misc Music and a few other things</v>
      </c>
      <c r="D180" t="s">
        <v>401</v>
      </c>
    </row>
    <row r="181" spans="1:5" x14ac:dyDescent="0.2">
      <c r="A181" t="str">
        <f>HYPERLINK("https://archives.eyrie.org", "https://archives.eyrie.org")</f>
        <v>https://archives.eyrie.org</v>
      </c>
      <c r="B181" t="s">
        <v>5</v>
      </c>
      <c r="C181" t="str">
        <f>HYPERLINK("https://www.reddit.com/r/opendirectories/comments/dzq53d", "Evangelion Fanfic (Not NSFW but weird as fuck, if you know evangelion)")</f>
        <v>Evangelion Fanfic (Not NSFW but weird as fuck, if you know evangelion)</v>
      </c>
      <c r="D181" t="s">
        <v>105</v>
      </c>
    </row>
    <row r="182" spans="1:5" x14ac:dyDescent="0.2">
      <c r="A182" t="str">
        <f>HYPERLINK("http://www.ai.sri.com/movies", "http://www.ai.sri.com/movies")</f>
        <v>http://www.ai.sri.com/movies</v>
      </c>
      <c r="B182" t="s">
        <v>5</v>
      </c>
      <c r="C182" t="str">
        <f>HYPERLINK("https://www.reddit.com/r/opendirectories/comments/hyxk1m", "Movies, Series, Anime, Music and something about robotics")</f>
        <v>Movies, Series, Anime, Music and something about robotics</v>
      </c>
      <c r="D182" t="s">
        <v>402</v>
      </c>
    </row>
    <row r="183" spans="1:5" x14ac:dyDescent="0.2">
      <c r="A183" t="str">
        <f>HYPERLINK("http://www.amiga-paradise.com/mp3", "http://www.amiga-paradise.com/mp3")</f>
        <v>http://www.amiga-paradise.com/mp3</v>
      </c>
      <c r="B183" t="s">
        <v>5</v>
      </c>
      <c r="C183" t="str">
        <f>HYPERLINK("https://www.reddit.com/r/opendirectories/comments/hxe21u", "The sound of crime when you don't have any money 😎")</f>
        <v>The sound of crime when you don't have any money 😎</v>
      </c>
      <c r="D183" t="s">
        <v>482</v>
      </c>
    </row>
    <row r="184" spans="1:5" x14ac:dyDescent="0.2">
      <c r="A184" t="str">
        <f>HYPERLINK("http://modland.com", "http://modland.com")</f>
        <v>http://modland.com</v>
      </c>
      <c r="B184" t="s">
        <v>5</v>
      </c>
      <c r="C184" t="str">
        <f>HYPERLINK("https://www.reddit.com/r/opendirectories/comments/hv89qb", "Huge open directory of old school music files, players and utilities. (MOD, MID, S3M, also console files for NES, Game boy, etc)")</f>
        <v>Huge open directory of old school music files, players and utilities. (MOD, MID, S3M, also console files for NES, Game boy, etc)</v>
      </c>
      <c r="D184" t="s">
        <v>483</v>
      </c>
    </row>
    <row r="185" spans="1:5" x14ac:dyDescent="0.2">
      <c r="A185" t="str">
        <f>HYPERLINK("https://www.mitsu-freunde-bw.de/gallery/pics", "https://www.mitsu-freunde-bw.de/gallery/pics")</f>
        <v>https://www.mitsu-freunde-bw.de/gallery/pics</v>
      </c>
      <c r="B185" t="s">
        <v>5</v>
      </c>
      <c r="C185" t="str">
        <f>HYPERLINK("https://www.reddit.com/r/opendirectories/comments/huxoz3", "FLAC files of Erich Kunzel's music")</f>
        <v>FLAC files of Erich Kunzel's music</v>
      </c>
      <c r="D185" t="s">
        <v>483</v>
      </c>
    </row>
    <row r="186" spans="1:5" x14ac:dyDescent="0.2">
      <c r="A186" t="str">
        <f>HYPERLINK("http://51.255.68.3:8011", "http://51.255.68.3:8011")</f>
        <v>http://51.255.68.3:8011</v>
      </c>
      <c r="B186" t="s">
        <v>5</v>
      </c>
      <c r="C186" t="str">
        <f>HYPERLINK("https://www.reddit.com/r/opendirectories/comments/huou39", "misc stuff. Movies, books, music etc...")</f>
        <v>misc stuff. Movies, books, music etc...</v>
      </c>
      <c r="D186" t="s">
        <v>403</v>
      </c>
    </row>
    <row r="187" spans="1:5" x14ac:dyDescent="0.2">
      <c r="A187" t="str">
        <f>HYPERLINK("http://www.unrec.com/mixes", "http://www.unrec.com/mixes")</f>
        <v>http://www.unrec.com/mixes</v>
      </c>
      <c r="B187" t="s">
        <v>5</v>
      </c>
      <c r="C187" t="str">
        <f>HYPERLINK("https://www.reddit.com/r/opendirectories/comments/hqtvp7", "Electronic music mixes")</f>
        <v>Electronic music mixes</v>
      </c>
      <c r="D187" t="s">
        <v>484</v>
      </c>
    </row>
    <row r="188" spans="1:5" x14ac:dyDescent="0.2">
      <c r="A188" t="str">
        <f>HYPERLINK("http://www.djhermix.com/mix", "http://www.djhermix.com/mix")</f>
        <v>http://www.djhermix.com/mix</v>
      </c>
      <c r="B188" t="s">
        <v>5</v>
      </c>
      <c r="C188" t="str">
        <f>HYPERLINK("https://www.reddit.com/r/opendirectories/comments/hqttda", "Techno music mix")</f>
        <v>Techno music mix</v>
      </c>
      <c r="D188" t="s">
        <v>484</v>
      </c>
    </row>
    <row r="189" spans="1:5" x14ac:dyDescent="0.2">
      <c r="A189" t="str">
        <f>HYPERLINK("http://netmorais.no-ip.info:5180/awb/plaud/slaudpl", "http://netmorais.no-ip.info:5180/awb/plaud/slaudpl")</f>
        <v>http://netmorais.no-ip.info:5180/awb/plaud/slaudpl</v>
      </c>
      <c r="B189" t="s">
        <v>5</v>
      </c>
      <c r="C189" t="str">
        <f>HYPERLINK("https://www.reddit.com/r/opendirectories/comments/h87kyp", "Classics Music 1970 - 2010")</f>
        <v>Classics Music 1970 - 2010</v>
      </c>
      <c r="D189" t="s">
        <v>525</v>
      </c>
    </row>
    <row r="190" spans="1:5" x14ac:dyDescent="0.2">
      <c r="A190" t="str">
        <f>HYPERLINK("http://www.doxic.com", "http://www.doxic.com")</f>
        <v>http://www.doxic.com</v>
      </c>
      <c r="B190" t="s">
        <v>5</v>
      </c>
      <c r="C190" t="str">
        <f>HYPERLINK("https://www.reddit.com/r/opendirectories/comments/grz0cb", "Another huge library of MP3s")</f>
        <v>Another huge library of MP3s</v>
      </c>
      <c r="D190" t="s">
        <v>526</v>
      </c>
    </row>
    <row r="191" spans="1:5" x14ac:dyDescent="0.2">
      <c r="A191" t="str">
        <f>HYPERLINK("https://lit.gfax.ch", "https://lit.gfax.ch")</f>
        <v>https://lit.gfax.ch</v>
      </c>
      <c r="B191" t="s">
        <v>5</v>
      </c>
      <c r="C191" t="str">
        <f>HYPERLINK("https://www.reddit.com/r/opendirectories/comments/gbznvf", "Lots of Books about Music plus sheets")</f>
        <v>Lots of Books about Music plus sheets</v>
      </c>
      <c r="D191" t="s">
        <v>527</v>
      </c>
    </row>
    <row r="192" spans="1:5" x14ac:dyDescent="0.2">
      <c r="A192" t="str">
        <f>HYPERLINK("http://bobak2.bplaced.net", "http://bobak2.bplaced.net")</f>
        <v>http://bobak2.bplaced.net</v>
      </c>
      <c r="B192" t="s">
        <v>5</v>
      </c>
      <c r="C192" t="str">
        <f>HYPERLINK("https://www.reddit.com/r/opendirectories/comments/g8yjzo", "German OD containing music, gifs and small web projects")</f>
        <v>German OD containing music, gifs and small web projects</v>
      </c>
      <c r="D192" t="s">
        <v>87</v>
      </c>
      <c r="E192" t="s">
        <v>186</v>
      </c>
    </row>
    <row r="193" spans="1:5" x14ac:dyDescent="0.2">
      <c r="A193" t="str">
        <f>HYPERLINK("http://www.katawa-shoujo.com", "http://www.katawa-shoujo.com")</f>
        <v>http://www.katawa-shoujo.com</v>
      </c>
      <c r="B193" t="s">
        <v>5</v>
      </c>
      <c r="C193" t="str">
        <f>HYPERLINK("https://www.reddit.com/r/opendirectories/comments/g0vv2q", "A Hidden Open Directory on the Katawa Shoujo Webpage")</f>
        <v>A Hidden Open Directory on the Katawa Shoujo Webpage</v>
      </c>
      <c r="D193" t="s">
        <v>528</v>
      </c>
    </row>
    <row r="194" spans="1:5" x14ac:dyDescent="0.2">
      <c r="A194" t="str">
        <f>HYPERLINK("https://doc.downloadha.com", "https://doc.downloadha.com")</f>
        <v>https://doc.downloadha.com</v>
      </c>
      <c r="B194" t="s">
        <v>5</v>
      </c>
      <c r="C194" t="str">
        <f>HYPERLINK("https://www.reddit.com/r/opendirectories/comments/d5e6ka", "Lots of Documentaries, BBC, Nature, MvGroup etc.")</f>
        <v>Lots of Documentaries, BBC, Nature, MvGroup etc.</v>
      </c>
      <c r="D194" t="s">
        <v>407</v>
      </c>
    </row>
    <row r="195" spans="1:5" x14ac:dyDescent="0.2">
      <c r="A195" t="str">
        <f>HYPERLINK("http://goran.tangring.com/tabs", "http://goran.tangring.com/tabs")</f>
        <v>http://goran.tangring.com/tabs</v>
      </c>
      <c r="B195" t="s">
        <v>5</v>
      </c>
      <c r="C195" t="str">
        <f>HYPERLINK("https://www.reddit.com/r/opendirectories/comments/furios", "Guitar Tabs")</f>
        <v>Guitar Tabs</v>
      </c>
      <c r="D195" t="s">
        <v>529</v>
      </c>
    </row>
    <row r="196" spans="1:5" x14ac:dyDescent="0.2">
      <c r="A196" t="str">
        <f>HYPERLINK("https://www.classclef.com/pdf", "https://www.classclef.com/pdf")</f>
        <v>https://www.classclef.com/pdf</v>
      </c>
      <c r="B196" t="s">
        <v>5</v>
      </c>
      <c r="C196" t="str">
        <f>HYPERLINK("https://www.reddit.com/r/opendirectories/comments/furios", "Guitar Tabs")</f>
        <v>Guitar Tabs</v>
      </c>
      <c r="D196" t="s">
        <v>529</v>
      </c>
    </row>
    <row r="197" spans="1:5" x14ac:dyDescent="0.2">
      <c r="A197" t="str">
        <f>HYPERLINK("http://www.1001tabs.com/gtp", "http://www.1001tabs.com/gtp")</f>
        <v>http://www.1001tabs.com/gtp</v>
      </c>
      <c r="B197" t="s">
        <v>5</v>
      </c>
      <c r="C197" t="str">
        <f>HYPERLINK("https://www.reddit.com/r/opendirectories/comments/furios", "Guitar Tabs")</f>
        <v>Guitar Tabs</v>
      </c>
      <c r="D197" t="s">
        <v>529</v>
      </c>
    </row>
    <row r="198" spans="1:5" x14ac:dyDescent="0.2">
      <c r="A198" t="str">
        <f>HYPERLINK("https://guitaralliance.com/instant-song-library-download/Instant%20Song%20Library%20PDF", "https://guitaralliance.com/instant-song-library-download/Instant%20Song%20Library%20PDF")</f>
        <v>https://guitaralliance.com/instant-song-library-download/Instant%20Song%20Library%20PDF</v>
      </c>
      <c r="B198" t="s">
        <v>5</v>
      </c>
      <c r="C198" t="str">
        <f>HYPERLINK("https://www.reddit.com/r/opendirectories/comments/furios", "Guitar Tabs")</f>
        <v>Guitar Tabs</v>
      </c>
      <c r="D198" t="s">
        <v>529</v>
      </c>
    </row>
    <row r="199" spans="1:5" x14ac:dyDescent="0.2">
      <c r="A199" t="str">
        <f>HYPERLINK("http://54.39.100.236", "http://54.39.100.236")</f>
        <v>http://54.39.100.236</v>
      </c>
      <c r="B199" t="s">
        <v>5</v>
      </c>
      <c r="C199" t="str">
        <f>HYPERLINK("https://www.reddit.com/r/opendirectories/comments/fjmgp0", "Whole bunch of movies and stuff")</f>
        <v>Whole bunch of movies and stuff</v>
      </c>
      <c r="D199" t="s">
        <v>319</v>
      </c>
      <c r="E199" t="s">
        <v>14</v>
      </c>
    </row>
    <row r="200" spans="1:5" x14ac:dyDescent="0.2">
      <c r="A200" t="str">
        <f>HYPERLINK("http://www.misantrof.net/media", "http://www.misantrof.net/media")</f>
        <v>http://www.misantrof.net/media</v>
      </c>
      <c r="B200" t="s">
        <v>5</v>
      </c>
      <c r="C200" t="str">
        <f>HYPERLINK("https://www.reddit.com/r/opendirectories/comments/fok10s", "Grindcore and other heavy music")</f>
        <v>Grindcore and other heavy music</v>
      </c>
      <c r="D200" t="s">
        <v>530</v>
      </c>
    </row>
    <row r="201" spans="1:5" x14ac:dyDescent="0.2">
      <c r="A201" t="str">
        <f>HYPERLINK("http://www.anorak.co.uk/wp-content/gallery", "http://www.anorak.co.uk/wp-content/gallery")</f>
        <v>http://www.anorak.co.uk/wp-content/gallery</v>
      </c>
      <c r="B201" t="s">
        <v>5</v>
      </c>
      <c r="C201" t="str">
        <f>HYPERLINK("https://www.reddit.com/r/opendirectories/comments/dk0njj", "Enterainment/news site phtoto index by article name (Some nsfw)")</f>
        <v>Enterainment/news site phtoto index by article name (Some nsfw)</v>
      </c>
      <c r="D201" t="s">
        <v>114</v>
      </c>
    </row>
    <row r="202" spans="1:5" x14ac:dyDescent="0.2">
      <c r="A202" t="str">
        <f>HYPERLINK("http://cbcradio.scrtc.com", "http://cbcradio.scrtc.com")</f>
        <v>http://cbcradio.scrtc.com</v>
      </c>
      <c r="B202" t="s">
        <v>5</v>
      </c>
      <c r="C202" t="str">
        <f>HYPERLINK("https://www.reddit.com/r/opendirectories/comments/eyjy6u", "Some great rock/metal tunes - grab the 2 zip files for everything")</f>
        <v>Some great rock/metal tunes - grab the 2 zip files for everything</v>
      </c>
      <c r="D202" t="s">
        <v>531</v>
      </c>
    </row>
    <row r="203" spans="1:5" x14ac:dyDescent="0.2">
      <c r="A203" t="str">
        <f>HYPERLINK("http://www.hispaservicios.com/multijuegos", "http://www.hispaservicios.com/multijuegos")</f>
        <v>http://www.hispaservicios.com/multijuegos</v>
      </c>
      <c r="B203" t="s">
        <v>5</v>
      </c>
      <c r="C203" t="str">
        <f>HYPERLINK("https://www.reddit.com/r/opendirectories/comments/exphzc", "some more music.")</f>
        <v>some more music.</v>
      </c>
      <c r="D203" t="s">
        <v>486</v>
      </c>
    </row>
    <row r="204" spans="1:5" x14ac:dyDescent="0.2">
      <c r="A204" t="str">
        <f>HYPERLINK("http://93.188.164.219/audio", "http://93.188.164.219/audio")</f>
        <v>http://93.188.164.219/audio</v>
      </c>
      <c r="B204" t="s">
        <v>5</v>
      </c>
      <c r="C204" t="str">
        <f>HYPERLINK("https://www.reddit.com/r/opendirectories/comments/exoxd6", "more music")</f>
        <v>more music</v>
      </c>
      <c r="D204" t="s">
        <v>486</v>
      </c>
    </row>
    <row r="205" spans="1:5" x14ac:dyDescent="0.2">
      <c r="A205" t="str">
        <f>HYPERLINK("http://mumia.art.pte.hu/periszkop/Musorok", "http://mumia.art.pte.hu/periszkop/Musorok")</f>
        <v>http://mumia.art.pte.hu/periszkop/Musorok</v>
      </c>
      <c r="B205" t="s">
        <v>5</v>
      </c>
      <c r="C205" t="str">
        <f>HYPERLINK("https://www.reddit.com/r/opendirectories/comments/evuhx9", "A few interesting obscure movies, experimental electronic music. Very fast.")</f>
        <v>A few interesting obscure movies, experimental electronic music. Very fast.</v>
      </c>
      <c r="D205" t="s">
        <v>410</v>
      </c>
    </row>
    <row r="206" spans="1:5" x14ac:dyDescent="0.2">
      <c r="A206" t="str">
        <f>HYPERLINK("https://ruerd.home.xs4all.nl/Ko-dec-musik", "https://ruerd.home.xs4all.nl/Ko-dec-musik")</f>
        <v>https://ruerd.home.xs4all.nl/Ko-dec-musik</v>
      </c>
      <c r="B206" t="s">
        <v>5</v>
      </c>
      <c r="C206" t="str">
        <f>HYPERLINK("https://www.reddit.com/r/opendirectories/comments/eu8arz", "[Music] - Parent dirs contains more stuff.")</f>
        <v>[Music] - Parent dirs contains more stuff.</v>
      </c>
      <c r="D206" t="s">
        <v>532</v>
      </c>
    </row>
    <row r="207" spans="1:5" x14ac:dyDescent="0.2">
      <c r="A207" t="str">
        <f>HYPERLINK("https://ruerd.home.xs4all.nl/st-t-run", "https://ruerd.home.xs4all.nl/st-t-run")</f>
        <v>https://ruerd.home.xs4all.nl/st-t-run</v>
      </c>
      <c r="B207" t="s">
        <v>5</v>
      </c>
      <c r="C207" t="str">
        <f>HYPERLINK("https://www.reddit.com/r/opendirectories/comments/eu8arz", "[Music] - Parent dirs contains more stuff.")</f>
        <v>[Music] - Parent dirs contains more stuff.</v>
      </c>
      <c r="D207" t="s">
        <v>532</v>
      </c>
    </row>
    <row r="208" spans="1:5" x14ac:dyDescent="0.2">
      <c r="A208" t="str">
        <f>HYPERLINK("http://fringe.davesource.com", "http://fringe.davesource.com")</f>
        <v>http://fringe.davesource.com</v>
      </c>
      <c r="B208" t="s">
        <v>5</v>
      </c>
      <c r="C208" t="str">
        <f>HYPERLINK("https://www.reddit.com/r/opendirectories/comments/8tprou", "I'm back again with the HAM!")</f>
        <v>I'm back again with the HAM!</v>
      </c>
      <c r="D208" t="s">
        <v>533</v>
      </c>
    </row>
    <row r="209" spans="1:5" x14ac:dyDescent="0.2">
      <c r="A209" t="str">
        <f>HYPERLINK("https://silentdragon.com", "https://silentdragon.com")</f>
        <v>https://silentdragon.com</v>
      </c>
      <c r="B209" t="s">
        <v>5</v>
      </c>
      <c r="C209" t="str">
        <f>HYPERLINK("https://www.reddit.com/r/opendirectories/comments/esyimn", "A couple open directories (apk, software, music etc)")</f>
        <v>A couple open directories (apk, software, music etc)</v>
      </c>
      <c r="D209" t="s">
        <v>97</v>
      </c>
    </row>
    <row r="210" spans="1:5" x14ac:dyDescent="0.2">
      <c r="A210" t="str">
        <f>HYPERLINK("https://djdirks.home.xs4all.nl/Android", "https://djdirks.home.xs4all.nl/Android")</f>
        <v>https://djdirks.home.xs4all.nl/Android</v>
      </c>
      <c r="B210" t="s">
        <v>5</v>
      </c>
      <c r="C210" t="str">
        <f>HYPERLINK("https://www.reddit.com/r/opendirectories/comments/esyimn", "A couple open directories (apk, software, music etc)")</f>
        <v>A couple open directories (apk, software, music etc)</v>
      </c>
      <c r="D210" t="s">
        <v>97</v>
      </c>
    </row>
    <row r="211" spans="1:5" x14ac:dyDescent="0.2">
      <c r="A211" t="str">
        <f>HYPERLINK("http://download.nust.na", "http://download.nust.na")</f>
        <v>http://download.nust.na</v>
      </c>
      <c r="B211" t="s">
        <v>5</v>
      </c>
      <c r="C211" t="str">
        <f>HYPERLINK("https://www.reddit.com/r/opendirectories/comments/esyimn", "A couple open directories (apk, software, music etc)")</f>
        <v>A couple open directories (apk, software, music etc)</v>
      </c>
      <c r="D211" t="s">
        <v>97</v>
      </c>
    </row>
    <row r="212" spans="1:5" x14ac:dyDescent="0.2">
      <c r="A212" t="str">
        <f>HYPERLINK("http://pub.agrarix.net", "http://pub.agrarix.net")</f>
        <v>http://pub.agrarix.net</v>
      </c>
      <c r="B212" t="s">
        <v>5</v>
      </c>
      <c r="C212" t="str">
        <f>HYPERLINK("https://www.reddit.com/r/opendirectories/comments/a0bcd1", "Tons of software")</f>
        <v>Tons of software</v>
      </c>
      <c r="D212" t="s">
        <v>534</v>
      </c>
    </row>
    <row r="213" spans="1:5" x14ac:dyDescent="0.2">
      <c r="A213" t="str">
        <f>HYPERLINK("http://brownman.com/storage", "http://brownman.com/storage")</f>
        <v>http://brownman.com/storage</v>
      </c>
      <c r="B213" t="s">
        <v>5</v>
      </c>
      <c r="C213" t="str">
        <f>HYPERLINK("https://www.reddit.com/r/opendirectories/comments/eqaxj4", "Sheet Music")</f>
        <v>Sheet Music</v>
      </c>
      <c r="D213" t="s">
        <v>322</v>
      </c>
    </row>
    <row r="214" spans="1:5" x14ac:dyDescent="0.2">
      <c r="A214" t="str">
        <f>HYPERLINK("https://androidrepublica.website", "https://androidrepublica.website")</f>
        <v>https://androidrepublica.website</v>
      </c>
      <c r="B214" t="s">
        <v>5</v>
      </c>
      <c r="C214" t="str">
        <f>HYPERLINK("https://www.reddit.com/r/opendirectories/comments/dwx6tr", "Various Updated APK sources for Movies/Anime/Music")</f>
        <v>Various Updated APK sources for Movies/Anime/Music</v>
      </c>
      <c r="D214" t="s">
        <v>325</v>
      </c>
    </row>
    <row r="215" spans="1:5" x14ac:dyDescent="0.2">
      <c r="A215" t="str">
        <f>HYPERLINK("http://www.bur.st/~omp0lyom/iosho.com/Music", "http://www.bur.st/~omp0lyom/iosho.com/Music")</f>
        <v>http://www.bur.st/~omp0lyom/iosho.com/Music</v>
      </c>
      <c r="B215" t="s">
        <v>5</v>
      </c>
      <c r="C215" t="str">
        <f>HYPERLINK("https://www.reddit.com/r/opendirectories/comments/dwtop2", "Old music videos in ASF format")</f>
        <v>Old music videos in ASF format</v>
      </c>
      <c r="D215" t="s">
        <v>325</v>
      </c>
    </row>
    <row r="216" spans="1:5" x14ac:dyDescent="0.2">
      <c r="A216" t="str">
        <f>HYPERLINK("http://xbox.joshw.info", "http://xbox.joshw.info")</f>
        <v>http://xbox.joshw.info</v>
      </c>
      <c r="B216" t="s">
        <v>5</v>
      </c>
      <c r="C216" t="str">
        <f>HYPERLINK("https://www.reddit.com/r/opendirectories/comments/dwl0rv", "MISC Open Directories [Games, Roms, OSTs, more games, anime]")</f>
        <v>MISC Open Directories [Games, Roms, OSTs, more games, anime]</v>
      </c>
      <c r="D216" t="s">
        <v>325</v>
      </c>
      <c r="E216" t="s">
        <v>51</v>
      </c>
    </row>
    <row r="217" spans="1:5" x14ac:dyDescent="0.2">
      <c r="A217" t="str">
        <f>HYPERLINK("http://blackislemusic.com/wp-content/uploads", "http://blackislemusic.com/wp-content/uploads")</f>
        <v>http://blackislemusic.com/wp-content/uploads</v>
      </c>
      <c r="B217" t="s">
        <v>5</v>
      </c>
      <c r="C217" t="str">
        <f>HYPERLINK("https://www.reddit.com/r/opendirectories/comments/dtawpu", "Loads of violin music, solos and some duets.")</f>
        <v>Loads of violin music, solos and some duets.</v>
      </c>
      <c r="D217" t="s">
        <v>535</v>
      </c>
    </row>
    <row r="218" spans="1:5" x14ac:dyDescent="0.2">
      <c r="A218" t="str">
        <f>HYPERLINK("http://teknopia.net/new_uploads", "http://teknopia.net/new_uploads")</f>
        <v>http://teknopia.net/new_uploads</v>
      </c>
      <c r="B218" t="s">
        <v>5</v>
      </c>
      <c r="C218" t="str">
        <f>HYPERLINK("https://www.reddit.com/r/opendirectories/comments/bnqm1l", "Daft Punk (several sources)")</f>
        <v>Daft Punk (several sources)</v>
      </c>
      <c r="D218" t="s">
        <v>487</v>
      </c>
    </row>
    <row r="219" spans="1:5" x14ac:dyDescent="0.2">
      <c r="A219" t="str">
        <f>HYPERLINK("http://download.nust.na/pub2", "http://download.nust.na/pub2")</f>
        <v>http://download.nust.na/pub2</v>
      </c>
      <c r="B219" t="s">
        <v>5</v>
      </c>
      <c r="C219" t="str">
        <f>HYPERLINK("https://www.reddit.com/r/opendirectories/comments/aud8yi", "Was looking for a specific open directory, found some interesting ones on the way/")</f>
        <v>Was looking for a specific open directory, found some interesting ones on the way/</v>
      </c>
      <c r="D219" t="s">
        <v>138</v>
      </c>
      <c r="E219" t="s">
        <v>14</v>
      </c>
    </row>
    <row r="220" spans="1:5" x14ac:dyDescent="0.2">
      <c r="A220" t="str">
        <f>HYPERLINK("http://dl.navasong.ir/Media", "http://dl.navasong.ir/Media")</f>
        <v>http://dl.navasong.ir/Media</v>
      </c>
      <c r="B220" t="s">
        <v>5</v>
      </c>
      <c r="C220" t="str">
        <f>HYPERLINK("https://www.reddit.com/r/opendirectories/comments/dobqq5", "New Music...mostly 2019 that I have seen. Check subfolders for the goodies.")</f>
        <v>New Music...mostly 2019 that I have seen. Check subfolders for the goodies.</v>
      </c>
      <c r="D220" t="s">
        <v>112</v>
      </c>
    </row>
    <row r="221" spans="1:5" x14ac:dyDescent="0.2">
      <c r="A221" t="str">
        <f>HYPERLINK("https://www.mutopiaproject.org/ftp", "https://www.mutopiaproject.org/ftp")</f>
        <v>https://www.mutopiaproject.org/ftp</v>
      </c>
      <c r="B221" t="s">
        <v>5</v>
      </c>
      <c r="C221" t="str">
        <f>HYPERLINK("https://www.reddit.com/r/opendirectories/comments/dgr0u7", "Seems to be some sort of midi file and sheet music directory")</f>
        <v>Seems to be some sort of midi file and sheet music directory</v>
      </c>
      <c r="D221" t="s">
        <v>115</v>
      </c>
    </row>
    <row r="222" spans="1:5" x14ac:dyDescent="0.2">
      <c r="A222" t="str">
        <f>HYPERLINK("http://pirate-network.com", "http://pirate-network.com")</f>
        <v>http://pirate-network.com</v>
      </c>
      <c r="B222" t="s">
        <v>5</v>
      </c>
      <c r="C222" t="str">
        <f>HYPERLINK("https://www.reddit.com/r/opendirectories/comments/dgdnm8", "Epic Music")</f>
        <v>Epic Music</v>
      </c>
      <c r="D222" t="s">
        <v>536</v>
      </c>
    </row>
    <row r="223" spans="1:5" x14ac:dyDescent="0.2">
      <c r="A223" t="str">
        <f>HYPERLINK("https://ftp.sunet.se", "https://ftp.sunet.se")</f>
        <v>https://ftp.sunet.se</v>
      </c>
      <c r="B223" t="s">
        <v>5</v>
      </c>
      <c r="C223" t="str">
        <f>HYPERLINK("https://www.reddit.com/r/opendirectories/comments/ak1xka", "Swedish Umea University ACC Club Directory. Has files going back to 94, games, classic anime, books, etc.")</f>
        <v>Swedish Umea University ACC Club Directory. Has files going back to 94, games, classic anime, books, etc.</v>
      </c>
      <c r="D223" t="s">
        <v>414</v>
      </c>
    </row>
    <row r="224" spans="1:5" x14ac:dyDescent="0.2">
      <c r="A224" t="str">
        <f>HYPERLINK("http://www.keeper1st.com", "http://www.keeper1st.com")</f>
        <v>http://www.keeper1st.com</v>
      </c>
      <c r="B224" t="s">
        <v>5</v>
      </c>
      <c r="C224" t="str">
        <f>HYPERLINK("https://www.reddit.com/r/opendirectories/comments/d1w6ju", "Some piano sheet music")</f>
        <v>Some piano sheet music</v>
      </c>
      <c r="D224" t="s">
        <v>122</v>
      </c>
    </row>
    <row r="225" spans="1:5" x14ac:dyDescent="0.2">
      <c r="A225" t="str">
        <f>HYPERLINK("http://tenshi.spb.ru/anime-ost", "http://tenshi.spb.ru/anime-ost")</f>
        <v>http://tenshi.spb.ru/anime-ost</v>
      </c>
      <c r="B225" t="s">
        <v>5</v>
      </c>
      <c r="C225" t="str">
        <f>HYPERLINK("https://www.reddit.com/r/opendirectories/comments/8lqstv", "Anime OST (320 kbps MP3 / 800 Series / Good Speed)")</f>
        <v>Anime OST (320 kbps MP3 / 800 Series / Good Speed)</v>
      </c>
      <c r="D225" t="s">
        <v>415</v>
      </c>
    </row>
    <row r="226" spans="1:5" x14ac:dyDescent="0.2">
      <c r="A226" t="str">
        <f>HYPERLINK("http://www.crypthome.com/members/mike/MP3", "http://www.crypthome.com/members/mike/MP3")</f>
        <v>http://www.crypthome.com/members/mike/MP3</v>
      </c>
      <c r="B226" t="s">
        <v>5</v>
      </c>
      <c r="C226" t="str">
        <f>HYPERLINK("https://www.reddit.com/r/opendirectories/comments/c2ppq9", "Small MP3 directory, misc songs - Van Halen, ELO, Black Sabbath, some parody")</f>
        <v>Small MP3 directory, misc songs - Van Halen, ELO, Black Sabbath, some parody</v>
      </c>
      <c r="D226" t="s">
        <v>490</v>
      </c>
    </row>
    <row r="227" spans="1:5" x14ac:dyDescent="0.2">
      <c r="A227" t="str">
        <f>HYPERLINK("http://bigbeatradio.com/static", "http://bigbeatradio.com/static")</f>
        <v>http://bigbeatradio.com/static</v>
      </c>
      <c r="B227" t="s">
        <v>5</v>
      </c>
      <c r="C227" t="str">
        <f>HYPERLINK("https://www.reddit.com/r/opendirectories/comments/bx89lg", "Big Beat-a-liscious......good speed too.")</f>
        <v>Big Beat-a-liscious......good speed too.</v>
      </c>
      <c r="D227" t="s">
        <v>273</v>
      </c>
    </row>
    <row r="228" spans="1:5" x14ac:dyDescent="0.2">
      <c r="A228" t="str">
        <f>HYPERLINK("http://media.discodevils.com/mixes", "http://media.discodevils.com/mixes")</f>
        <v>http://media.discodevils.com/mixes</v>
      </c>
      <c r="B228" t="s">
        <v>5</v>
      </c>
      <c r="C228" t="str">
        <f>HYPERLINK("https://www.reddit.com/r/opendirectories/comments/bx7lv4", "Disco Devils Mixes [MP3/ZIP]")</f>
        <v>Disco Devils Mixes [MP3/ZIP]</v>
      </c>
      <c r="D228" t="s">
        <v>273</v>
      </c>
    </row>
    <row r="229" spans="1:5" x14ac:dyDescent="0.2">
      <c r="A229" t="str">
        <f>HYPERLINK("http://62-210-103-107.rev.poneytelecom.eu/torrent", "http://62-210-103-107.rev.poneytelecom.eu/torrent")</f>
        <v>http://62-210-103-107.rev.poneytelecom.eu/torrent</v>
      </c>
      <c r="B229" t="s">
        <v>5</v>
      </c>
      <c r="C229" t="str">
        <f>HYPERLINK("https://www.reddit.com/r/opendirectories/comments/bx2qjh", "[FR/EN] Movies / TV Shows / Softwares / Music / Misc")</f>
        <v>[FR/EN] Movies / TV Shows / Softwares / Music / Misc</v>
      </c>
      <c r="D229" t="s">
        <v>273</v>
      </c>
      <c r="E229" t="s">
        <v>51</v>
      </c>
    </row>
    <row r="230" spans="1:5" x14ac:dyDescent="0.2">
      <c r="A230" t="str">
        <f>HYPERLINK("http://www.faygoluvers.net/v5/wp-content/files_mf", "http://www.faygoluvers.net/v5/wp-content/files_mf")</f>
        <v>http://www.faygoluvers.net/v5/wp-content/files_mf</v>
      </c>
      <c r="B230" t="s">
        <v>5</v>
      </c>
      <c r="C230" t="str">
        <f>HYPERLINK("https://www.reddit.com/r/opendirectories/comments/bv7liv", "If you're in icp and music like it.")</f>
        <v>If you're in icp and music like it.</v>
      </c>
      <c r="D230" t="s">
        <v>537</v>
      </c>
    </row>
    <row r="231" spans="1:5" x14ac:dyDescent="0.2">
      <c r="A231" t="str">
        <f>HYPERLINK("http://www.djel.net/music", "http://www.djel.net/music")</f>
        <v>http://www.djel.net/music</v>
      </c>
      <c r="B231" t="s">
        <v>5</v>
      </c>
      <c r="C231" t="str">
        <f>HYPERLINK("https://www.reddit.com/r/opendirectories/comments/brqv2m", "bunch of techno livesets and mixes")</f>
        <v>bunch of techno livesets and mixes</v>
      </c>
      <c r="D231" t="s">
        <v>491</v>
      </c>
    </row>
    <row r="232" spans="1:5" x14ac:dyDescent="0.2">
      <c r="A232" t="str">
        <f>HYPERLINK("https://www.alcatron.net/dl", "https://www.alcatron.net/dl")</f>
        <v>https://www.alcatron.net/dl</v>
      </c>
      <c r="B232" t="s">
        <v>5</v>
      </c>
      <c r="C232" t="str">
        <f>HYPERLINK("https://www.reddit.com/r/opendirectories/comments/brqv2m", "bunch of techno livesets and mixes")</f>
        <v>bunch of techno livesets and mixes</v>
      </c>
      <c r="D232" t="s">
        <v>491</v>
      </c>
    </row>
    <row r="233" spans="1:5" x14ac:dyDescent="0.2">
      <c r="A233" t="str">
        <f>HYPERLINK("http://www.dj-warlock.com/mixes", "http://www.dj-warlock.com/mixes")</f>
        <v>http://www.dj-warlock.com/mixes</v>
      </c>
      <c r="B233" t="s">
        <v>5</v>
      </c>
      <c r="C233" t="str">
        <f>HYPERLINK("https://www.reddit.com/r/opendirectories/comments/brqv2m", "bunch of techno livesets and mixes")</f>
        <v>bunch of techno livesets and mixes</v>
      </c>
      <c r="D233" t="s">
        <v>491</v>
      </c>
    </row>
    <row r="234" spans="1:5" x14ac:dyDescent="0.2">
      <c r="A234" t="str">
        <f>HYPERLINK("http://respectdrumandbass.com/livesets", "http://respectdrumandbass.com/livesets")</f>
        <v>http://respectdrumandbass.com/livesets</v>
      </c>
      <c r="B234" t="s">
        <v>5</v>
      </c>
      <c r="C234" t="str">
        <f>HYPERLINK("https://www.reddit.com/r/opendirectories/comments/aud8yi", "Was looking for a specific open directory, found some interesting ones on the way/")</f>
        <v>Was looking for a specific open directory, found some interesting ones on the way/</v>
      </c>
      <c r="D234" t="s">
        <v>138</v>
      </c>
      <c r="E234" t="s">
        <v>14</v>
      </c>
    </row>
    <row r="235" spans="1:5" x14ac:dyDescent="0.2">
      <c r="A235" t="str">
        <f>HYPERLINK("http://tempsoundsolutions.arnoldascher.com/mp3", "http://tempsoundsolutions.arnoldascher.com/mp3")</f>
        <v>http://tempsoundsolutions.arnoldascher.com/mp3</v>
      </c>
      <c r="B235" t="s">
        <v>5</v>
      </c>
      <c r="C235" t="str">
        <f>HYPERLINK("https://www.reddit.com/r/opendirectories/comments/brqv2m", "bunch of techno livesets and mixes")</f>
        <v>bunch of techno livesets and mixes</v>
      </c>
      <c r="D235" t="s">
        <v>491</v>
      </c>
    </row>
    <row r="236" spans="1:5" x14ac:dyDescent="0.2">
      <c r="A236" t="str">
        <f>HYPERLINK("http://musicalmoments.persiangig.com", "http://musicalmoments.persiangig.com")</f>
        <v>http://musicalmoments.persiangig.com</v>
      </c>
      <c r="B236" t="s">
        <v>5</v>
      </c>
      <c r="C236" t="str">
        <f>HYPERLINK("https://www.reddit.com/r/opendirectories/comments/bnqm1l", "Daft Punk (several sources)")</f>
        <v>Daft Punk (several sources)</v>
      </c>
      <c r="D236" t="s">
        <v>487</v>
      </c>
    </row>
    <row r="237" spans="1:5" x14ac:dyDescent="0.2">
      <c r="A237" t="str">
        <f>HYPERLINK("http://sdasofia.org/dataup", "http://sdasofia.org/dataup")</f>
        <v>http://sdasofia.org/dataup</v>
      </c>
      <c r="B237" t="s">
        <v>5</v>
      </c>
      <c r="C237" t="str">
        <f>HYPERLINK("https://www.reddit.com/r/opendirectories/comments/bfsioi", "Baby Einstein Music and other Christian based alubums/videos in parent")</f>
        <v>Baby Einstein Music and other Christian based alubums/videos in parent</v>
      </c>
      <c r="D237" t="s">
        <v>330</v>
      </c>
    </row>
    <row r="238" spans="1:5" x14ac:dyDescent="0.2">
      <c r="A238" t="str">
        <f>HYPERLINK("http://baseshare.com/uploads/songs", "http://baseshare.com/uploads/songs")</f>
        <v>http://baseshare.com/uploads/songs</v>
      </c>
      <c r="B238" t="s">
        <v>5</v>
      </c>
      <c r="C238" t="str">
        <f>HYPERLINK("https://www.reddit.com/r/opendirectories/comments/b1g2uj", "dig if bored -- literally unsorted,mostly, mp3 'n such")</f>
        <v>dig if bored -- literally unsorted,mostly, mp3 'n such</v>
      </c>
      <c r="D238" t="s">
        <v>332</v>
      </c>
    </row>
    <row r="239" spans="1:5" x14ac:dyDescent="0.2">
      <c r="A239" t="str">
        <f>HYPERLINK("http://aircredits.net/thi/mixtapes", "http://aircredits.net/thi/mixtapes")</f>
        <v>http://aircredits.net/thi/mixtapes</v>
      </c>
      <c r="B239" t="s">
        <v>5</v>
      </c>
      <c r="C239" t="str">
        <f>HYPERLINK("https://www.reddit.com/r/opendirectories/comments/8ykemt", "The Hood Internet - Mashup Mixtapes")</f>
        <v>The Hood Internet - Mashup Mixtapes</v>
      </c>
      <c r="D239" t="s">
        <v>165</v>
      </c>
    </row>
    <row r="240" spans="1:5" x14ac:dyDescent="0.2">
      <c r="A240" t="str">
        <f>HYPERLINK("https://b.goeswhere.com", "https://b.goeswhere.com")</f>
        <v>https://b.goeswhere.com</v>
      </c>
      <c r="B240" t="s">
        <v>5</v>
      </c>
      <c r="C240" t="str">
        <f t="shared" ref="C240:C266" si="8">HYPERLINK("https://www.reddit.com/r/opendirectories/comments/ape43b", "list of RE-POST's")</f>
        <v>list of RE-POST's</v>
      </c>
      <c r="D240" t="s">
        <v>396</v>
      </c>
    </row>
    <row r="241" spans="1:4" x14ac:dyDescent="0.2">
      <c r="A241" t="str">
        <f>HYPERLINK("https://blackstarkodi.com", "https://blackstarkodi.com")</f>
        <v>https://blackstarkodi.com</v>
      </c>
      <c r="B241" t="s">
        <v>5</v>
      </c>
      <c r="C241" t="str">
        <f t="shared" si="8"/>
        <v>list of RE-POST's</v>
      </c>
      <c r="D241" t="s">
        <v>396</v>
      </c>
    </row>
    <row r="242" spans="1:4" x14ac:dyDescent="0.2">
      <c r="A242" t="str">
        <f>HYPERLINK("https://cache.csrulez.ru", "https://cache.csrulez.ru")</f>
        <v>https://cache.csrulez.ru</v>
      </c>
      <c r="B242" t="s">
        <v>5</v>
      </c>
      <c r="C242" t="str">
        <f t="shared" si="8"/>
        <v>list of RE-POST's</v>
      </c>
      <c r="D242" t="s">
        <v>396</v>
      </c>
    </row>
    <row r="243" spans="1:4" x14ac:dyDescent="0.2">
      <c r="A243" t="str">
        <f>HYPERLINK("https://ch0c.com", "https://ch0c.com")</f>
        <v>https://ch0c.com</v>
      </c>
      <c r="B243" t="s">
        <v>5</v>
      </c>
      <c r="C243" t="str">
        <f t="shared" si="8"/>
        <v>list of RE-POST's</v>
      </c>
      <c r="D243" t="s">
        <v>396</v>
      </c>
    </row>
    <row r="244" spans="1:4" x14ac:dyDescent="0.2">
      <c r="A244" t="str">
        <f>HYPERLINK("https://cyberside.net.ee", "https://cyberside.net.ee")</f>
        <v>https://cyberside.net.ee</v>
      </c>
      <c r="B244" t="s">
        <v>5</v>
      </c>
      <c r="C244" t="str">
        <f t="shared" si="8"/>
        <v>list of RE-POST's</v>
      </c>
      <c r="D244" t="s">
        <v>396</v>
      </c>
    </row>
    <row r="245" spans="1:4" x14ac:dyDescent="0.2">
      <c r="A245" t="str">
        <f>HYPERLINK("https://dl.par30dl.com", "https://dl.par30dl.com")</f>
        <v>https://dl.par30dl.com</v>
      </c>
      <c r="B245" t="s">
        <v>5</v>
      </c>
      <c r="C245" t="str">
        <f t="shared" si="8"/>
        <v>list of RE-POST's</v>
      </c>
      <c r="D245" t="s">
        <v>396</v>
      </c>
    </row>
    <row r="246" spans="1:4" x14ac:dyDescent="0.2">
      <c r="A246" t="str">
        <f>HYPERLINK("https://download.nextcloud.com", "https://download.nextcloud.com")</f>
        <v>https://download.nextcloud.com</v>
      </c>
      <c r="B246" t="s">
        <v>5</v>
      </c>
      <c r="C246" t="str">
        <f t="shared" si="8"/>
        <v>list of RE-POST's</v>
      </c>
      <c r="D246" t="s">
        <v>396</v>
      </c>
    </row>
    <row r="247" spans="1:4" x14ac:dyDescent="0.2">
      <c r="A247" t="str">
        <f>HYPERLINK("https://download.videolan.org", "https://download.videolan.org")</f>
        <v>https://download.videolan.org</v>
      </c>
      <c r="B247" t="s">
        <v>5</v>
      </c>
      <c r="C247" t="str">
        <f t="shared" si="8"/>
        <v>list of RE-POST's</v>
      </c>
      <c r="D247" t="s">
        <v>396</v>
      </c>
    </row>
    <row r="248" spans="1:4" x14ac:dyDescent="0.2">
      <c r="A248" t="str">
        <f>HYPERLINK("https://ftp.belnet.be", "https://ftp.belnet.be")</f>
        <v>https://ftp.belnet.be</v>
      </c>
      <c r="B248" t="s">
        <v>5</v>
      </c>
      <c r="C248" t="str">
        <f t="shared" si="8"/>
        <v>list of RE-POST's</v>
      </c>
      <c r="D248" t="s">
        <v>396</v>
      </c>
    </row>
    <row r="249" spans="1:4" x14ac:dyDescent="0.2">
      <c r="A249" t="str">
        <f>HYPERLINK("https://ftp.dlink.ru", "https://ftp.dlink.ru")</f>
        <v>https://ftp.dlink.ru</v>
      </c>
      <c r="B249" t="s">
        <v>5</v>
      </c>
      <c r="C249" t="str">
        <f t="shared" si="8"/>
        <v>list of RE-POST's</v>
      </c>
      <c r="D249" t="s">
        <v>396</v>
      </c>
    </row>
    <row r="250" spans="1:4" x14ac:dyDescent="0.2">
      <c r="A250" t="str">
        <f>HYPERLINK("https://ftp.funet.fi", "https://ftp.funet.fi")</f>
        <v>https://ftp.funet.fi</v>
      </c>
      <c r="B250" t="s">
        <v>5</v>
      </c>
      <c r="C250" t="str">
        <f t="shared" si="8"/>
        <v>list of RE-POST's</v>
      </c>
      <c r="D250" t="s">
        <v>396</v>
      </c>
    </row>
    <row r="251" spans="1:4" x14ac:dyDescent="0.2">
      <c r="A251" t="str">
        <f>HYPERLINK("https://ftp.gnome.org", "https://ftp.gnome.org")</f>
        <v>https://ftp.gnome.org</v>
      </c>
      <c r="B251" t="s">
        <v>5</v>
      </c>
      <c r="C251" t="str">
        <f t="shared" si="8"/>
        <v>list of RE-POST's</v>
      </c>
      <c r="D251" t="s">
        <v>396</v>
      </c>
    </row>
    <row r="252" spans="1:4" x14ac:dyDescent="0.2">
      <c r="A252" t="str">
        <f>HYPERLINK("https://galactic.to", "https://galactic.to")</f>
        <v>https://galactic.to</v>
      </c>
      <c r="B252" t="s">
        <v>5</v>
      </c>
      <c r="C252" t="str">
        <f t="shared" si="8"/>
        <v>list of RE-POST's</v>
      </c>
      <c r="D252" t="s">
        <v>396</v>
      </c>
    </row>
    <row r="253" spans="1:4" x14ac:dyDescent="0.2">
      <c r="A253" t="str">
        <f>HYPERLINK("https://gmsh.info", "https://gmsh.info")</f>
        <v>https://gmsh.info</v>
      </c>
      <c r="B253" t="s">
        <v>5</v>
      </c>
      <c r="C253" t="str">
        <f t="shared" si="8"/>
        <v>list of RE-POST's</v>
      </c>
      <c r="D253" t="s">
        <v>396</v>
      </c>
    </row>
    <row r="254" spans="1:4" x14ac:dyDescent="0.2">
      <c r="A254" t="str">
        <f>HYPERLINK("https://img.cs.montana.edu", "https://img.cs.montana.edu")</f>
        <v>https://img.cs.montana.edu</v>
      </c>
      <c r="B254" t="s">
        <v>5</v>
      </c>
      <c r="C254" t="str">
        <f t="shared" si="8"/>
        <v>list of RE-POST's</v>
      </c>
      <c r="D254" t="s">
        <v>396</v>
      </c>
    </row>
    <row r="255" spans="1:4" x14ac:dyDescent="0.2">
      <c r="A255" t="str">
        <f>HYPERLINK("https://incoherency.co.uk", "https://incoherency.co.uk")</f>
        <v>https://incoherency.co.uk</v>
      </c>
      <c r="B255" t="s">
        <v>5</v>
      </c>
      <c r="C255" t="str">
        <f t="shared" si="8"/>
        <v>list of RE-POST's</v>
      </c>
      <c r="D255" t="s">
        <v>396</v>
      </c>
    </row>
    <row r="256" spans="1:4" x14ac:dyDescent="0.2">
      <c r="A256" t="str">
        <f>HYPERLINK("https://legacymediastreams.com", "https://legacymediastreams.com")</f>
        <v>https://legacymediastreams.com</v>
      </c>
      <c r="B256" t="s">
        <v>5</v>
      </c>
      <c r="C256" t="str">
        <f t="shared" si="8"/>
        <v>list of RE-POST's</v>
      </c>
      <c r="D256" t="s">
        <v>396</v>
      </c>
    </row>
    <row r="257" spans="1:5" x14ac:dyDescent="0.2">
      <c r="A257" t="str">
        <f>HYPERLINK("https://media.xiph.org", "https://media.xiph.org")</f>
        <v>https://media.xiph.org</v>
      </c>
      <c r="B257" t="s">
        <v>5</v>
      </c>
      <c r="C257" t="str">
        <f t="shared" si="8"/>
        <v>list of RE-POST's</v>
      </c>
      <c r="D257" t="s">
        <v>396</v>
      </c>
    </row>
    <row r="258" spans="1:5" x14ac:dyDescent="0.2">
      <c r="A258" t="str">
        <f>HYPERLINK("https://modland.com", "https://modland.com")</f>
        <v>https://modland.com</v>
      </c>
      <c r="B258" t="s">
        <v>5</v>
      </c>
      <c r="C258" t="str">
        <f t="shared" si="8"/>
        <v>list of RE-POST's</v>
      </c>
      <c r="D258" t="s">
        <v>396</v>
      </c>
    </row>
    <row r="259" spans="1:5" x14ac:dyDescent="0.2">
      <c r="A259" t="str">
        <f>HYPERLINK("https://pics.yougave.me", "https://pics.yougave.me")</f>
        <v>https://pics.yougave.me</v>
      </c>
      <c r="B259" t="s">
        <v>5</v>
      </c>
      <c r="C259" t="str">
        <f t="shared" si="8"/>
        <v>list of RE-POST's</v>
      </c>
      <c r="D259" t="s">
        <v>396</v>
      </c>
    </row>
    <row r="260" spans="1:5" x14ac:dyDescent="0.2">
      <c r="A260" t="str">
        <f>HYPERLINK("https://repo.steampowered.com", "https://repo.steampowered.com")</f>
        <v>https://repo.steampowered.com</v>
      </c>
      <c r="B260" t="s">
        <v>5</v>
      </c>
      <c r="C260" t="str">
        <f t="shared" si="8"/>
        <v>list of RE-POST's</v>
      </c>
      <c r="D260" t="s">
        <v>396</v>
      </c>
    </row>
    <row r="261" spans="1:5" x14ac:dyDescent="0.2">
      <c r="A261" t="str">
        <f>HYPERLINK("https://rootjunkysdl.com", "https://rootjunkysdl.com")</f>
        <v>https://rootjunkysdl.com</v>
      </c>
      <c r="B261" t="s">
        <v>5</v>
      </c>
      <c r="C261" t="str">
        <f t="shared" si="8"/>
        <v>list of RE-POST's</v>
      </c>
      <c r="D261" t="s">
        <v>396</v>
      </c>
    </row>
    <row r="262" spans="1:5" x14ac:dyDescent="0.2">
      <c r="A262" t="str">
        <f>HYPERLINK("https://www.bookofthedead.ws", "https://www.bookofthedead.ws")</f>
        <v>https://www.bookofthedead.ws</v>
      </c>
      <c r="B262" t="s">
        <v>5</v>
      </c>
      <c r="C262" t="str">
        <f t="shared" si="8"/>
        <v>list of RE-POST's</v>
      </c>
      <c r="D262" t="s">
        <v>396</v>
      </c>
    </row>
    <row r="263" spans="1:5" x14ac:dyDescent="0.2">
      <c r="A263" t="str">
        <f>HYPERLINK("https://www.danielpeart.net", "https://www.danielpeart.net")</f>
        <v>https://www.danielpeart.net</v>
      </c>
      <c r="B263" t="s">
        <v>5</v>
      </c>
      <c r="C263" t="str">
        <f t="shared" si="8"/>
        <v>list of RE-POST's</v>
      </c>
      <c r="D263" t="s">
        <v>396</v>
      </c>
    </row>
    <row r="264" spans="1:5" x14ac:dyDescent="0.2">
      <c r="A264" t="str">
        <f>HYPERLINK("https://www.gamers.org", "https://www.gamers.org")</f>
        <v>https://www.gamers.org</v>
      </c>
      <c r="B264" t="s">
        <v>5</v>
      </c>
      <c r="C264" t="str">
        <f t="shared" si="8"/>
        <v>list of RE-POST's</v>
      </c>
      <c r="D264" t="s">
        <v>396</v>
      </c>
    </row>
    <row r="265" spans="1:5" x14ac:dyDescent="0.2">
      <c r="A265" t="str">
        <f>HYPERLINK("https://www.vivagamers.com", "https://www.vivagamers.com")</f>
        <v>https://www.vivagamers.com</v>
      </c>
      <c r="B265" t="s">
        <v>5</v>
      </c>
      <c r="C265" t="str">
        <f t="shared" si="8"/>
        <v>list of RE-POST's</v>
      </c>
      <c r="D265" t="s">
        <v>396</v>
      </c>
    </row>
    <row r="266" spans="1:5" x14ac:dyDescent="0.2">
      <c r="A266" t="str">
        <f>HYPERLINK("https://www.xbmcmods.com", "https://www.xbmcmods.com")</f>
        <v>https://www.xbmcmods.com</v>
      </c>
      <c r="B266" t="s">
        <v>5</v>
      </c>
      <c r="C266" t="str">
        <f t="shared" si="8"/>
        <v>list of RE-POST's</v>
      </c>
      <c r="D266" t="s">
        <v>396</v>
      </c>
    </row>
    <row r="267" spans="1:5" x14ac:dyDescent="0.2">
      <c r="A267" t="str">
        <f>HYPERLINK("http://gcn.joshw.info", "http://gcn.joshw.info")</f>
        <v>http://gcn.joshw.info</v>
      </c>
      <c r="B267" t="s">
        <v>5</v>
      </c>
      <c r="C267" t="str">
        <f>HYPERLINK("https://www.reddit.com/r/opendirectories/comments/an2qec", "Here's a good source for Gamecube isos now that they're gone from the-eye.")</f>
        <v>Here's a good source for Gamecube isos now that they're gone from the-eye.</v>
      </c>
      <c r="D267" t="s">
        <v>333</v>
      </c>
    </row>
    <row r="268" spans="1:5" x14ac:dyDescent="0.2">
      <c r="A268" t="str">
        <f>HYPERLINK("http://files.duspectacle.com/mp3", "http://files.duspectacle.com/mp3")</f>
        <v>http://files.duspectacle.com/mp3</v>
      </c>
      <c r="B268" t="s">
        <v>5</v>
      </c>
      <c r="C268" t="str">
        <f>HYPERLINK("https://www.reddit.com/r/opendirectories/comments/7t9t8m", "Selection of French Tunes (MP3)")</f>
        <v>Selection of French Tunes (MP3)</v>
      </c>
      <c r="D268" t="s">
        <v>493</v>
      </c>
      <c r="E268" t="s">
        <v>51</v>
      </c>
    </row>
    <row r="269" spans="1:5" x14ac:dyDescent="0.2">
      <c r="A269" t="str">
        <f>HYPERLINK("http://yourmom.likesbuttse.xxx/stuff", "http://yourmom.likesbuttse.xxx/stuff")</f>
        <v>http://yourmom.likesbuttse.xxx/stuff</v>
      </c>
      <c r="B269" t="s">
        <v>5</v>
      </c>
      <c r="C269" t="str">
        <f>HYPERLINK("https://www.reddit.com/r/opendirectories/comments/akigdt", "{NSFW} Can't decide a Title [~10MB/s]")</f>
        <v>{NSFW} Can't decide a Title [~10MB/s]</v>
      </c>
      <c r="D269" t="s">
        <v>453</v>
      </c>
    </row>
    <row r="270" spans="1:5" x14ac:dyDescent="0.2">
      <c r="A270" t="str">
        <f>HYPERLINK("http://bhs.minor9.com", "http://bhs.minor9.com")</f>
        <v>http://bhs.minor9.com</v>
      </c>
      <c r="B270" t="s">
        <v>5</v>
      </c>
      <c r="C270" t="str">
        <f>HYPERLINK("https://www.reddit.com/r/opendirectories/comments/ak8w4j", "Midi files of popular songs. More in parent.")</f>
        <v>Midi files of popular songs. More in parent.</v>
      </c>
      <c r="D270" t="s">
        <v>142</v>
      </c>
    </row>
    <row r="271" spans="1:5" x14ac:dyDescent="0.2">
      <c r="A271" t="str">
        <f>HYPERLINK("http://aquarium.lipetsk.ru/MESTA", "http://aquarium.lipetsk.ru/MESTA")</f>
        <v>http://aquarium.lipetsk.ru/MESTA</v>
      </c>
      <c r="B271" t="s">
        <v>5</v>
      </c>
      <c r="C271" t="str">
        <f>HYPERLINK("https://www.reddit.com/r/opendirectories/comments/93ln9", "Large directory of traditional Indian music.  ")</f>
        <v xml:space="preserve">Large directory of traditional Indian music.  </v>
      </c>
      <c r="D271" t="s">
        <v>538</v>
      </c>
    </row>
    <row r="272" spans="1:5" x14ac:dyDescent="0.2">
      <c r="A272" t="str">
        <f>HYPERLINK("https://www.andyslife.org/misc", "https://www.andyslife.org/misc")</f>
        <v>https://www.andyslife.org/misc</v>
      </c>
      <c r="B272" t="s">
        <v>5</v>
      </c>
      <c r="C272" t="str">
        <f>HYPERLINK("https://www.reddit.com/r/opendirectories/comments/aj8nx3", "TV Theme songs")</f>
        <v>TV Theme songs</v>
      </c>
      <c r="D272" t="s">
        <v>454</v>
      </c>
    </row>
    <row r="273" spans="1:4" x14ac:dyDescent="0.2">
      <c r="A273" t="str">
        <f>HYPERLINK("http://shramba.radiostudent.si/sites/default/files/posnetki", "http://shramba.radiostudent.si/sites/default/files/posnetki")</f>
        <v>http://shramba.radiostudent.si/sites/default/files/posnetki</v>
      </c>
      <c r="B273" t="s">
        <v>5</v>
      </c>
      <c r="D273" t="s">
        <v>494</v>
      </c>
    </row>
    <row r="274" spans="1:4" x14ac:dyDescent="0.2">
      <c r="A274" t="str">
        <f>HYPERLINK("https://web.pa.msu.edu/people", "https://web.pa.msu.edu/people")</f>
        <v>https://web.pa.msu.edu/people</v>
      </c>
      <c r="B274" t="s">
        <v>5</v>
      </c>
      <c r="C274" t="str">
        <f>HYPERLINK("https://www.reddit.com/r/opendirectories/comments/ahlfsg", "songs lyrics for ukelele or something. See comment for example")</f>
        <v>songs lyrics for ukelele or something. See comment for example</v>
      </c>
      <c r="D274" t="s">
        <v>494</v>
      </c>
    </row>
    <row r="275" spans="1:4" x14ac:dyDescent="0.2">
      <c r="A275" t="str">
        <f>HYPERLINK("http://music.mvfolkdancers.com", "http://music.mvfolkdancers.com")</f>
        <v>http://music.mvfolkdancers.com</v>
      </c>
      <c r="B275" t="s">
        <v>5</v>
      </c>
      <c r="C275" t="str">
        <f>HYPERLINK("https://www.reddit.com/r/opendirectories/comments/afjz0g", "a lot of music (see comment for relevant directories).")</f>
        <v>a lot of music (see comment for relevant directories).</v>
      </c>
      <c r="D275" t="s">
        <v>539</v>
      </c>
    </row>
    <row r="276" spans="1:4" x14ac:dyDescent="0.2">
      <c r="A276" t="str">
        <f>HYPERLINK("http://chimpmania.com/forum/skim", "http://chimpmania.com/forum/skim")</f>
        <v>http://chimpmania.com/forum/skim</v>
      </c>
      <c r="B276" t="s">
        <v>5</v>
      </c>
      <c r="C276" t="str">
        <f>HYPERLINK("https://www.reddit.com/r/opendirectories/comments/ae1kld", "collection of racist KKK songs, flash videos and pictures")</f>
        <v>collection of racist KKK songs, flash videos and pictures</v>
      </c>
      <c r="D276" t="s">
        <v>337</v>
      </c>
    </row>
    <row r="277" spans="1:4" x14ac:dyDescent="0.2">
      <c r="A277" t="str">
        <f>HYPERLINK("http://pacsteam.org/Shareware", "http://pacsteam.org/Shareware")</f>
        <v>http://pacsteam.org/Shareware</v>
      </c>
      <c r="B277" t="s">
        <v>5</v>
      </c>
      <c r="C277" t="str">
        <f>HYPERLINK("https://www.reddit.com/r/opendirectories/comments/adymcu", "Conspiracy(Vids,Books,Audio.) Also: AudioBooks, Games, Music, Futurama (7 seasons) and more..")</f>
        <v>Conspiracy(Vids,Books,Audio.) Also: AudioBooks, Games, Music, Futurama (7 seasons) and more..</v>
      </c>
      <c r="D277" t="s">
        <v>338</v>
      </c>
    </row>
    <row r="278" spans="1:4" x14ac:dyDescent="0.2">
      <c r="A278" t="str">
        <f>HYPERLINK("https://www.acc.umu.se/~vestman/bgfiles/audio/Songs", "https://www.acc.umu.se/~vestman/bgfiles/audio/Songs")</f>
        <v>https://www.acc.umu.se/~vestman/bgfiles/audio/Songs</v>
      </c>
      <c r="B278" t="s">
        <v>5</v>
      </c>
      <c r="C278" t="str">
        <f>HYPERLINK("https://www.reddit.com/r/opendirectories/comments/achf36", "mostly gospel music (see comment)")</f>
        <v>mostly gospel music (see comment)</v>
      </c>
      <c r="D278" t="s">
        <v>148</v>
      </c>
    </row>
    <row r="279" spans="1:4" x14ac:dyDescent="0.2">
      <c r="A279" t="str">
        <f>HYPERLINK("http://www.musicportal.gr/media/musicportal", "http://www.musicportal.gr/media/musicportal")</f>
        <v>http://www.musicportal.gr/media/musicportal</v>
      </c>
      <c r="B279" t="s">
        <v>5</v>
      </c>
      <c r="C279" t="str">
        <f>HYPERLINK("https://www.reddit.com/r/opendirectories/comments/abya1s", "music-it's all greek to me, and to you too;")</f>
        <v>music-it's all greek to me, and to you too;</v>
      </c>
      <c r="D279" t="s">
        <v>303</v>
      </c>
    </row>
    <row r="280" spans="1:4" x14ac:dyDescent="0.2">
      <c r="A280" t="str">
        <f>HYPERLINK("http://www.morningshow.net/jim/ando", "http://www.morningshow.net/jim/ando")</f>
        <v>http://www.morningshow.net/jim/ando</v>
      </c>
      <c r="B280" t="s">
        <v>5</v>
      </c>
      <c r="C280" t="str">
        <f>HYPERLINK("https://www.reddit.com/r/opendirectories/comments/ab6jsh", "another music mix")</f>
        <v>another music mix</v>
      </c>
      <c r="D280" t="s">
        <v>149</v>
      </c>
    </row>
    <row r="281" spans="1:4" x14ac:dyDescent="0.2">
      <c r="A281" t="str">
        <f>HYPERLINK("https://media.musicasacra.com", "https://media.musicasacra.com")</f>
        <v>https://media.musicasacra.com</v>
      </c>
      <c r="B281" t="s">
        <v>5</v>
      </c>
      <c r="C281" t="str">
        <f>HYPERLINK("https://www.reddit.com/r/opendirectories/comments/a6c7ez", "Musicasacra: Index of /books")</f>
        <v>Musicasacra: Index of /books</v>
      </c>
      <c r="D281" t="s">
        <v>540</v>
      </c>
    </row>
    <row r="282" spans="1:4" x14ac:dyDescent="0.2">
      <c r="A282" t="str">
        <f>HYPERLINK("http://www.mutopiaproject.org/ftp", "http://www.mutopiaproject.org/ftp")</f>
        <v>http://www.mutopiaproject.org/ftp</v>
      </c>
      <c r="B282" t="s">
        <v>5</v>
      </c>
      <c r="C282" t="str">
        <f>HYPERLINK("https://www.reddit.com/r/opendirectories/comments/a5s5ud", "Music sheets")</f>
        <v>Music sheets</v>
      </c>
      <c r="D282" t="s">
        <v>541</v>
      </c>
    </row>
    <row r="283" spans="1:4" x14ac:dyDescent="0.2">
      <c r="A283" t="str">
        <f>HYPERLINK("http://sound.offlinemode.org", "http://sound.offlinemode.org")</f>
        <v>http://sound.offlinemode.org</v>
      </c>
      <c r="B283" t="s">
        <v>5</v>
      </c>
      <c r="C283" t="str">
        <f>HYPERLINK("https://www.reddit.com/r/opendirectories/comments/6iif1f", "Chillout Mixes")</f>
        <v>Chillout Mixes</v>
      </c>
      <c r="D283" t="s">
        <v>542</v>
      </c>
    </row>
    <row r="284" spans="1:4" x14ac:dyDescent="0.2">
      <c r="A284" t="str">
        <f>HYPERLINK("https://www.hcs64.com/mboard", "https://www.hcs64.com/mboard")</f>
        <v>https://www.hcs64.com/mboard</v>
      </c>
      <c r="B284" t="s">
        <v>5</v>
      </c>
      <c r="C284" t="str">
        <f>HYPERLINK("https://www.reddit.com/r/opendirectories/comments/a201mc", "Original Music Files from Thousands of Video Games")</f>
        <v>Original Music Files from Thousands of Video Games</v>
      </c>
      <c r="D284" t="s">
        <v>339</v>
      </c>
    </row>
    <row r="285" spans="1:4" x14ac:dyDescent="0.2">
      <c r="A285" t="str">
        <f>HYPERLINK("http://chs63.net/2013", "http://chs63.net/2013")</f>
        <v>http://chs63.net/2013</v>
      </c>
      <c r="B285" t="s">
        <v>5</v>
      </c>
      <c r="C285" t="str">
        <f>HYPERLINK("https://www.reddit.com/r/opendirectories/comments/9tk7gf", "music (mostly) of all sorts ..")</f>
        <v>music (mostly) of all sorts ..</v>
      </c>
      <c r="D285" t="s">
        <v>543</v>
      </c>
    </row>
    <row r="286" spans="1:4" x14ac:dyDescent="0.2">
      <c r="A286" t="str">
        <f>HYPERLINK("http://markswist.com/markpersonal", "http://markswist.com/markpersonal")</f>
        <v>http://markswist.com/markpersonal</v>
      </c>
      <c r="B286" t="s">
        <v>5</v>
      </c>
      <c r="C286" t="str">
        <f>HYPERLINK("https://www.reddit.com/r/opendirectories/comments/9tk7gf", "music (mostly) of all sorts ..")</f>
        <v>music (mostly) of all sorts ..</v>
      </c>
      <c r="D286" t="s">
        <v>543</v>
      </c>
    </row>
    <row r="287" spans="1:4" x14ac:dyDescent="0.2">
      <c r="A287" t="str">
        <f>HYPERLINK("http://wilmingtonnetworks.ddns.net/music", "http://wilmingtonnetworks.ddns.net/music")</f>
        <v>http://wilmingtonnetworks.ddns.net/music</v>
      </c>
      <c r="B287" t="s">
        <v>5</v>
      </c>
      <c r="C287" t="str">
        <f>HYPERLINK("https://www.reddit.com/r/opendirectories/comments/9tk7gf", "music (mostly) of all sorts ..")</f>
        <v>music (mostly) of all sorts ..</v>
      </c>
      <c r="D287" t="s">
        <v>543</v>
      </c>
    </row>
    <row r="288" spans="1:4" x14ac:dyDescent="0.2">
      <c r="A288" t="str">
        <f>HYPERLINK("http://www.gizard.org/goother", "http://www.gizard.org/goother")</f>
        <v>http://www.gizard.org/goother</v>
      </c>
      <c r="B288" t="s">
        <v>5</v>
      </c>
      <c r="C288" t="str">
        <f>HYPERLINK("https://www.reddit.com/r/opendirectories/comments/8knt70", "music and comedy albums (eg monty python, national lampoon)-some stuff zipped+some programs")</f>
        <v>music and comedy albums (eg monty python, national lampoon)-some stuff zipped+some programs</v>
      </c>
      <c r="D288" t="s">
        <v>496</v>
      </c>
    </row>
    <row r="289" spans="1:5" x14ac:dyDescent="0.2">
      <c r="A289" t="str">
        <f>HYPERLINK("http://www.mcrfb.com/files", "http://www.mcrfb.com/files")</f>
        <v>http://www.mcrfb.com/files</v>
      </c>
      <c r="B289" t="s">
        <v>5</v>
      </c>
      <c r="C289" t="str">
        <f>HYPERLINK("https://www.reddit.com/r/opendirectories/comments/9tk7gf", "music (mostly) of all sorts ..")</f>
        <v>music (mostly) of all sorts ..</v>
      </c>
      <c r="D289" t="s">
        <v>543</v>
      </c>
    </row>
    <row r="290" spans="1:5" x14ac:dyDescent="0.2">
      <c r="A290" t="str">
        <f>HYPERLINK("http://mediaset.sdasofia.org/MEDIA%20SET/index.php", "http://mediaset.sdasofia.org/MEDIA%20SET/index.php")</f>
        <v>http://mediaset.sdasofia.org/MEDIA%20SET/index.php</v>
      </c>
      <c r="B290" t="s">
        <v>5</v>
      </c>
      <c r="C290" t="str">
        <f>HYPERLINK("https://www.reddit.com/r/opendirectories/comments/9rj7h1", "Classical Music, Religious Music, Christmas Music, bible_atlas.pdf, _second koming.ppt")</f>
        <v>Classical Music, Religious Music, Christmas Music, bible_atlas.pdf, _second koming.ppt</v>
      </c>
      <c r="D290" t="s">
        <v>344</v>
      </c>
    </row>
    <row r="291" spans="1:5" x14ac:dyDescent="0.2">
      <c r="A291" t="str">
        <f>HYPERLINK("http://www.electricadolescence.com/audio", "http://www.electricadolescence.com/audio")</f>
        <v>http://www.electricadolescence.com/audio</v>
      </c>
      <c r="B291" t="s">
        <v>5</v>
      </c>
      <c r="C291" t="str">
        <f>HYPERLINK("https://www.reddit.com/r/opendirectories/comments/916pya", "I'm not sure what kind of music")</f>
        <v>I'm not sure what kind of music</v>
      </c>
      <c r="D291" t="s">
        <v>544</v>
      </c>
    </row>
    <row r="292" spans="1:5" x14ac:dyDescent="0.2">
      <c r="A292" t="str">
        <f>HYPERLINK("http://lapfoxarchive.com", "http://lapfoxarchive.com")</f>
        <v>http://lapfoxarchive.com</v>
      </c>
      <c r="B292" t="s">
        <v>5</v>
      </c>
      <c r="C292" t="str">
        <f>HYPERLINK("https://www.reddit.com/r/opendirectories/comments/9006dc", "Lapfox Music Archive (MP3/FLAC)")</f>
        <v>Lapfox Music Archive (MP3/FLAC)</v>
      </c>
      <c r="D292" t="s">
        <v>163</v>
      </c>
    </row>
    <row r="293" spans="1:5" x14ac:dyDescent="0.2">
      <c r="A293" t="str">
        <f>HYPERLINK("http://blogs.hatrix.fr/musiques", "http://blogs.hatrix.fr/musiques")</f>
        <v>http://blogs.hatrix.fr/musiques</v>
      </c>
      <c r="B293" t="s">
        <v>5</v>
      </c>
      <c r="C293" t="str">
        <f>HYPERLINK("https://www.reddit.com/r/opendirectories/comments/2r22uo", "Hard rock / metal directory")</f>
        <v>Hard rock / metal directory</v>
      </c>
      <c r="D293" t="s">
        <v>545</v>
      </c>
      <c r="E293" t="s">
        <v>546</v>
      </c>
    </row>
    <row r="294" spans="1:5" x14ac:dyDescent="0.2">
      <c r="A294" t="str">
        <f>HYPERLINK("http://www.chaosje.nl", "http://www.chaosje.nl")</f>
        <v>http://www.chaosje.nl</v>
      </c>
      <c r="B294" t="s">
        <v>5</v>
      </c>
      <c r="C294" t="str">
        <f>HYPERLINK("https://www.reddit.com/r/opendirectories/comments/8irx42", "few music files, and films, total commander 8.01 with wincmd key, and god knows what else.")</f>
        <v>few music files, and films, total commander 8.01 with wincmd key, and god knows what else.</v>
      </c>
      <c r="D294" t="s">
        <v>423</v>
      </c>
    </row>
    <row r="295" spans="1:5" x14ac:dyDescent="0.2">
      <c r="A295" t="str">
        <f>HYPERLINK("https://dcnick3.duckdns.org", "https://dcnick3.duckdns.org")</f>
        <v>https://dcnick3.duckdns.org</v>
      </c>
      <c r="B295" t="s">
        <v>5</v>
      </c>
      <c r="C295" t="str">
        <f>HYPERLINK("https://www.reddit.com/r/opendirectories/comments/8h4fry", "Misc Music - Some Game OSTs (Terraria-Undertale) - Beatles")</f>
        <v>Misc Music - Some Game OSTs (Terraria-Undertale) - Beatles</v>
      </c>
      <c r="D295" t="s">
        <v>547</v>
      </c>
    </row>
    <row r="296" spans="1:5" x14ac:dyDescent="0.2">
      <c r="A296" t="str">
        <f>HYPERLINK("http://73.88.44.174/MusicArchive", "http://73.88.44.174/MusicArchive")</f>
        <v>http://73.88.44.174/MusicArchive</v>
      </c>
      <c r="B296" t="s">
        <v>5</v>
      </c>
      <c r="C296" t="str">
        <f>HYPERLINK("https://www.reddit.com/r/opendirectories/comments/8h4cnh", "Swezey's Secret Music Archive")</f>
        <v>Swezey's Secret Music Archive</v>
      </c>
      <c r="D296" t="s">
        <v>547</v>
      </c>
    </row>
    <row r="297" spans="1:5" x14ac:dyDescent="0.2">
      <c r="A297" t="str">
        <f>HYPERLINK("https://10gbps.io", "https://10gbps.io")</f>
        <v>https://10gbps.io</v>
      </c>
      <c r="B297" t="s">
        <v>5</v>
      </c>
      <c r="C297" t="str">
        <f>HYPERLINK("https://www.reddit.com/r/opendirectories/comments/7gs0f2", "Google Index Search Engine @ The-Eye")</f>
        <v>Google Index Search Engine @ The-Eye</v>
      </c>
      <c r="D297" t="s">
        <v>346</v>
      </c>
    </row>
    <row r="298" spans="1:5" x14ac:dyDescent="0.2">
      <c r="A298" t="str">
        <f>HYPERLINK("http://vip.aersia.net/mu", "http://vip.aersia.net/mu")</f>
        <v>http://vip.aersia.net/mu</v>
      </c>
      <c r="B298" t="s">
        <v>5</v>
      </c>
      <c r="C298" t="str">
        <f>HYPERLINK("https://www.reddit.com/r/opendirectories/comments/7sorhy", "A lot of video game music (complete playlist is at vip.aersia.net)")</f>
        <v>A lot of video game music (complete playlist is at vip.aersia.net)</v>
      </c>
      <c r="D298" t="s">
        <v>347</v>
      </c>
    </row>
    <row r="299" spans="1:5" x14ac:dyDescent="0.2">
      <c r="A299" t="str">
        <f>HYPERLINK("http://bhs.minor9.com/midi", "http://bhs.minor9.com/midi")</f>
        <v>http://bhs.minor9.com/midi</v>
      </c>
      <c r="B299" t="s">
        <v>5</v>
      </c>
      <c r="C299" t="str">
        <f>HYPERLINK("https://www.reddit.com/r/opendirectories/comments/7qel6j", "Many Many songs in Midi format (.mid)")</f>
        <v>Many Many songs in Midi format (.mid)</v>
      </c>
      <c r="D299" t="s">
        <v>548</v>
      </c>
    </row>
    <row r="300" spans="1:5" x14ac:dyDescent="0.2">
      <c r="A300" t="str">
        <f>HYPERLINK("http://playurbanomp3.com/Discografias", "http://playurbanomp3.com/Discografias")</f>
        <v>http://playurbanomp3.com/Discografias</v>
      </c>
      <c r="B300" t="s">
        <v>5</v>
      </c>
      <c r="C300" t="str">
        <f>HYPERLINK("https://www.reddit.com/r/opendirectories/comments/7pshyq", "Spanish/Latin Music (Discographies) MP3")</f>
        <v>Spanish/Latin Music (Discographies) MP3</v>
      </c>
      <c r="D300" t="s">
        <v>502</v>
      </c>
      <c r="E300" t="s">
        <v>377</v>
      </c>
    </row>
    <row r="301" spans="1:5" x14ac:dyDescent="0.2">
      <c r="A301" t="str">
        <f>HYPERLINK("http://feck.less.ly/dreaming/songs", "http://feck.less.ly/dreaming/songs")</f>
        <v>http://feck.less.ly/dreaming/songs</v>
      </c>
      <c r="B301" t="s">
        <v>5</v>
      </c>
      <c r="C301" t="str">
        <f>HYPERLINK("https://www.reddit.com/r/opendirectories/comments/7nq7do", "[Music][MP3] Small collection with some albums")</f>
        <v>[Music][MP3] Small collection with some albums</v>
      </c>
      <c r="D301" t="s">
        <v>503</v>
      </c>
    </row>
    <row r="302" spans="1:5" x14ac:dyDescent="0.2">
      <c r="A302" t="str">
        <f>HYPERLINK("https://www.vgmusic.com/music/console", "https://www.vgmusic.com/music/console")</f>
        <v>https://www.vgmusic.com/music/console</v>
      </c>
      <c r="B302" t="s">
        <v>5</v>
      </c>
      <c r="C302" t="str">
        <f>HYPERLINK("https://www.reddit.com/r/opendirectories/comments/7ldubj", "Video game music(vgm) all consoles")</f>
        <v>Video game music(vgm) all consoles</v>
      </c>
      <c r="D302" t="s">
        <v>349</v>
      </c>
    </row>
    <row r="303" spans="1:5" x14ac:dyDescent="0.2">
      <c r="A303" t="str">
        <f>HYPERLINK("http://bruscella.dreamhosters.com", "http://bruscella.dreamhosters.com")</f>
        <v>http://bruscella.dreamhosters.com</v>
      </c>
      <c r="B303" t="s">
        <v>5</v>
      </c>
      <c r="C303" t="str">
        <f>HYPERLINK("https://www.reddit.com/r/opendirectories/comments/7kwzmm", "Quite a few rock &amp;amp; some random music albums.")</f>
        <v>Quite a few rock &amp;amp; some random music albums.</v>
      </c>
      <c r="D303" t="s">
        <v>549</v>
      </c>
    </row>
    <row r="304" spans="1:5" x14ac:dyDescent="0.2">
      <c r="A304" t="str">
        <f>HYPERLINK("http://x360.joshw.info", "http://x360.joshw.info")</f>
        <v>http://x360.joshw.info</v>
      </c>
      <c r="B304" t="s">
        <v>5</v>
      </c>
      <c r="C304" t="str">
        <f>HYPERLINK("https://www.reddit.com/r/opendirectories/comments/7ixqx2", "Xbox 360 music archive (native format)")</f>
        <v>Xbox 360 music archive (native format)</v>
      </c>
      <c r="D304" t="s">
        <v>179</v>
      </c>
    </row>
    <row r="305" spans="1:4" x14ac:dyDescent="0.2">
      <c r="A305" t="str">
        <f>HYPERLINK("https://mg20.vc-graz.ac.at/karaoke", "https://mg20.vc-graz.ac.at/karaoke")</f>
        <v>https://mg20.vc-graz.ac.at/karaoke</v>
      </c>
      <c r="B305" t="s">
        <v>5</v>
      </c>
      <c r="C305" t="str">
        <f>HYPERLINK("https://www.reddit.com/r/opendirectories/comments/7iqkd5", "Well organized compilation of karaoke songs(.kar,midi) pd contains karaoke software and compressed file of the songs")</f>
        <v>Well organized compilation of karaoke songs(.kar,midi) pd contains karaoke software and compressed file of the songs</v>
      </c>
      <c r="D305" t="s">
        <v>550</v>
      </c>
    </row>
    <row r="306" spans="1:4" x14ac:dyDescent="0.2">
      <c r="A306" t="str">
        <f>HYPERLINK("http://3sf.joshw.info", "http://3sf.joshw.info")</f>
        <v>http://3sf.joshw.info</v>
      </c>
      <c r="B306" t="s">
        <v>5</v>
      </c>
      <c r="C306" t="str">
        <f>HYPERLINK("https://www.reddit.com/r/opendirectories/comments/7imnaj", "Tons of games soundtrack in thier native format")</f>
        <v>Tons of games soundtrack in thier native format</v>
      </c>
      <c r="D306" t="s">
        <v>180</v>
      </c>
    </row>
    <row r="307" spans="1:4" x14ac:dyDescent="0.2">
      <c r="A307" t="str">
        <f>HYPERLINK("http://freeteknomusic.org/mp3", "http://freeteknomusic.org/mp3")</f>
        <v>http://freeteknomusic.org/mp3</v>
      </c>
      <c r="B307" t="s">
        <v>5</v>
      </c>
      <c r="C307" t="str">
        <f>HYPERLINK("https://www.reddit.com/r/opendirectories/comments/7ie94w", "5terabytes of tekno music")</f>
        <v>5terabytes of tekno music</v>
      </c>
      <c r="D307" t="s">
        <v>181</v>
      </c>
    </row>
    <row r="308" spans="1:4" x14ac:dyDescent="0.2">
      <c r="A308" t="str">
        <f>HYPERLINK("http://iama.stupid.cow.org/Audio", "http://iama.stupid.cow.org/Audio")</f>
        <v>http://iama.stupid.cow.org/Audio</v>
      </c>
      <c r="B308" t="s">
        <v>5</v>
      </c>
      <c r="C308" t="str">
        <f>HYPERLINK("https://www.reddit.com/r/opendirectories/comments/78bnw1", "Spooky music for Halloween! (mostly rips from old Halloween vinyl, approximately 2 GB)")</f>
        <v>Spooky music for Halloween! (mostly rips from old Halloween vinyl, approximately 2 GB)</v>
      </c>
      <c r="D308" t="s">
        <v>551</v>
      </c>
    </row>
    <row r="309" spans="1:4" x14ac:dyDescent="0.2">
      <c r="A309" t="str">
        <f>HYPERLINK("http://www.alpha-ii.com/Download/Main.html", "http://www.alpha-ii.com/Download/Main.html")</f>
        <v>http://www.alpha-ii.com/Download/Main.html</v>
      </c>
      <c r="B309" t="s">
        <v>5</v>
      </c>
      <c r="C309" t="str">
        <f>HYPERLINK("https://www.reddit.com/r/opendirectories/comments/74iych", "The Chiptune/Game Music Open Directory Archive List")</f>
        <v>The Chiptune/Game Music Open Directory Archive List</v>
      </c>
      <c r="D309" t="s">
        <v>351</v>
      </c>
    </row>
    <row r="310" spans="1:4" x14ac:dyDescent="0.2">
      <c r="A310" t="str">
        <f>HYPERLINK("https://www.hcs64.com/usf", "https://www.hcs64.com/usf")</f>
        <v>https://www.hcs64.com/usf</v>
      </c>
      <c r="B310" t="s">
        <v>5</v>
      </c>
      <c r="C310" t="str">
        <f>HYPERLINK("https://www.reddit.com/r/opendirectories/comments/74iych", "The Chiptune/Game Music Open Directory Archive List")</f>
        <v>The Chiptune/Game Music Open Directory Archive List</v>
      </c>
      <c r="D310" t="s">
        <v>351</v>
      </c>
    </row>
    <row r="311" spans="1:4" x14ac:dyDescent="0.2">
      <c r="A311" t="str">
        <f>HYPERLINK("http://www.audiogenic.fr/4566dkju54dfg", "http://www.audiogenic.fr/4566dkju54dfg")</f>
        <v>http://www.audiogenic.fr/4566dkju54dfg</v>
      </c>
      <c r="B311" t="s">
        <v>5</v>
      </c>
      <c r="C311" t="str">
        <f>HYPERLINK("https://www.reddit.com/r/opendirectories/comments/6z1eys", "A bit of music, some photos, et cetera")</f>
        <v>A bit of music, some photos, et cetera</v>
      </c>
      <c r="D311" t="s">
        <v>552</v>
      </c>
    </row>
    <row r="312" spans="1:4" x14ac:dyDescent="0.2">
      <c r="A312" t="str">
        <f>HYPERLINK("http://www.l0de.com/lrh", "http://www.l0de.com/lrh")</f>
        <v>http://www.l0de.com/lrh</v>
      </c>
      <c r="B312" t="s">
        <v>5</v>
      </c>
      <c r="C312" t="str">
        <f>HYPERLINK("https://www.reddit.com/r/opendirectories/comments/6sl1wu", "Very odd collection of music")</f>
        <v>Very odd collection of music</v>
      </c>
      <c r="D312" t="s">
        <v>553</v>
      </c>
    </row>
    <row r="313" spans="1:4" x14ac:dyDescent="0.2">
      <c r="A313" t="str">
        <f>HYPERLINK("http://cmedia.ipcall.com.ua", "http://cmedia.ipcall.com.ua")</f>
        <v>http://cmedia.ipcall.com.ua</v>
      </c>
      <c r="B313" t="s">
        <v>5</v>
      </c>
      <c r="C313" t="str">
        <f>HYPERLINK("https://www.reddit.com/r/opendirectories/comments/6luhl7", "some weird music")</f>
        <v>some weird music</v>
      </c>
      <c r="D313" t="s">
        <v>554</v>
      </c>
    </row>
    <row r="314" spans="1:4" x14ac:dyDescent="0.2">
      <c r="A314" t="str">
        <f>HYPERLINK("https://dsop.co/lars", "https://dsop.co/lars")</f>
        <v>https://dsop.co/lars</v>
      </c>
      <c r="B314" t="s">
        <v>5</v>
      </c>
      <c r="C314" t="str">
        <f>HYPERLINK("https://www.reddit.com/r/opendirectories/comments/6kbq18", "MC Lars Discography - Zip file for each album")</f>
        <v>MC Lars Discography - Zip file for each album</v>
      </c>
      <c r="D314" t="s">
        <v>555</v>
      </c>
    </row>
    <row r="315" spans="1:4" x14ac:dyDescent="0.2">
      <c r="A315" t="str">
        <f>HYPERLINK("http://rnc3.net/media", "http://rnc3.net/media")</f>
        <v>http://rnc3.net/media</v>
      </c>
      <c r="B315" t="s">
        <v>5</v>
      </c>
      <c r="C315" t="str">
        <f>HYPERLINK("https://www.reddit.com/r/opendirectories/comments/6e17hm", "Some Good Oldies Music (Selected)")</f>
        <v>Some Good Oldies Music (Selected)</v>
      </c>
      <c r="D315" t="s">
        <v>556</v>
      </c>
    </row>
    <row r="316" spans="1:4" x14ac:dyDescent="0.2">
      <c r="A316" t="str">
        <f>HYPERLINK("http://play.pokemonshowdown.com/audio", "http://play.pokemonshowdown.com/audio")</f>
        <v>http://play.pokemonshowdown.com/audio</v>
      </c>
      <c r="B316" t="s">
        <v>5</v>
      </c>
      <c r="C316" t="str">
        <f>HYPERLINK("https://www.reddit.com/r/opendirectories/comments/6830og", "Some Pokemon music and all the cries")</f>
        <v>Some Pokemon music and all the cries</v>
      </c>
      <c r="D316" t="s">
        <v>427</v>
      </c>
    </row>
    <row r="317" spans="1:4" x14ac:dyDescent="0.2">
      <c r="A317" t="str">
        <f>HYPERLINK("http://marla-isp.ludost.net", "http://marla-isp.ludost.net")</f>
        <v>http://marla-isp.ludost.net</v>
      </c>
      <c r="B317" t="s">
        <v>5</v>
      </c>
      <c r="C317" t="str">
        <f>HYPERLINK("https://www.reddit.com/r/opendirectories/comments/51y38z", "Nice collection of subbed anime ... Mostly SFW")</f>
        <v>Nice collection of subbed anime ... Mostly SFW</v>
      </c>
      <c r="D317" t="s">
        <v>352</v>
      </c>
    </row>
    <row r="318" spans="1:4" x14ac:dyDescent="0.2">
      <c r="A318" t="str">
        <f>HYPERLINK("http://cool-sound.eu/MP3", "http://cool-sound.eu/MP3")</f>
        <v>http://cool-sound.eu/MP3</v>
      </c>
      <c r="B318" t="s">
        <v>5</v>
      </c>
      <c r="C318" t="str">
        <f>HYPERLINK("https://www.reddit.com/r/opendirectories/comments/62fi2d", "Cool Songs with lyrics in txt")</f>
        <v>Cool Songs with lyrics in txt</v>
      </c>
      <c r="D318" t="s">
        <v>557</v>
      </c>
    </row>
    <row r="319" spans="1:4" x14ac:dyDescent="0.2">
      <c r="A319" t="str">
        <f>HYPERLINK("http://djbloom.info/Music/My%20Music", "http://djbloom.info/Music/My%20Music")</f>
        <v>http://djbloom.info/Music/My%20Music</v>
      </c>
      <c r="B319" t="s">
        <v>5</v>
      </c>
      <c r="C319" t="str">
        <f>HYPERLINK("https://www.reddit.com/r/opendirectories/comments/5xwe2h", "A bunch of music")</f>
        <v>A bunch of music</v>
      </c>
      <c r="D319" t="s">
        <v>558</v>
      </c>
    </row>
    <row r="320" spans="1:4" x14ac:dyDescent="0.2">
      <c r="A320" t="str">
        <f>HYPERLINK("http://timformation.net/music", "http://timformation.net/music")</f>
        <v>http://timformation.net/music</v>
      </c>
      <c r="B320" t="s">
        <v>5</v>
      </c>
      <c r="C320" t="str">
        <f>HYPERLINK("https://www.reddit.com/r/opendirectories/comments/5ucx5f", "Like a little variety in your music? Dubstep, Disco, Rock, Country, sound effects, you name it.")</f>
        <v>Like a little variety in your music? Dubstep, Disco, Rock, Country, sound effects, you name it.</v>
      </c>
      <c r="D320" t="s">
        <v>508</v>
      </c>
    </row>
    <row r="321" spans="1:4" x14ac:dyDescent="0.2">
      <c r="A321" t="str">
        <f>HYPERLINK("http://agalakov.spb.ru/Shared", "http://agalakov.spb.ru/Shared")</f>
        <v>http://agalakov.spb.ru/Shared</v>
      </c>
      <c r="B321" t="s">
        <v>5</v>
      </c>
      <c r="C321" t="str">
        <f>HYPERLINK("https://www.reddit.com/r/opendirectories/comments/5643h0", "Music. punk and The Seekers?")</f>
        <v>Music. punk and The Seekers?</v>
      </c>
      <c r="D321" t="s">
        <v>559</v>
      </c>
    </row>
    <row r="322" spans="1:4" x14ac:dyDescent="0.2">
      <c r="A322" t="str">
        <f>HYPERLINK("http://dataup.sdasofia.org", "http://dataup.sdasofia.org")</f>
        <v>http://dataup.sdasofia.org</v>
      </c>
      <c r="B322" t="s">
        <v>5</v>
      </c>
      <c r="C322" t="str">
        <f>HYPERLINK("https://www.reddit.com/r/opendirectories/comments/51lwfl", "Music-classical dex.")</f>
        <v>Music-classical dex.</v>
      </c>
      <c r="D322" t="s">
        <v>560</v>
      </c>
    </row>
    <row r="323" spans="1:4" x14ac:dyDescent="0.2">
      <c r="A323" t="str">
        <f>HYPERLINK("http://perun.ke.euroweb.sk/snow", "http://perun.ke.euroweb.sk/snow")</f>
        <v>http://perun.ke.euroweb.sk/snow</v>
      </c>
      <c r="B323" t="s">
        <v>5</v>
      </c>
      <c r="D323" t="s">
        <v>205</v>
      </c>
    </row>
    <row r="324" spans="1:4" x14ac:dyDescent="0.2">
      <c r="A324" t="str">
        <f>HYPERLINK("http://www.neotrouve.com/meditation", "http://www.neotrouve.com/meditation")</f>
        <v>http://www.neotrouve.com/meditation</v>
      </c>
      <c r="B324" t="s">
        <v>5</v>
      </c>
      <c r="C324" t="str">
        <f>HYPERLINK("https://www.reddit.com/r/opendirectories/comments/5n6k5j", "Some new age mediation mp3s.")</f>
        <v>Some new age mediation mp3s.</v>
      </c>
      <c r="D324" t="s">
        <v>561</v>
      </c>
    </row>
    <row r="325" spans="1:4" x14ac:dyDescent="0.2">
      <c r="A325" t="str">
        <f>HYPERLINK("http://tibs.grunchbox.com/Music", "http://tibs.grunchbox.com/Music")</f>
        <v>http://tibs.grunchbox.com/Music</v>
      </c>
      <c r="B325" t="s">
        <v>5</v>
      </c>
      <c r="C325" t="str">
        <f>HYPERLINK("https://www.reddit.com/r/opendirectories/comments/5hl6kx", "More music")</f>
        <v>More music</v>
      </c>
      <c r="D325" t="s">
        <v>425</v>
      </c>
    </row>
    <row r="326" spans="1:4" x14ac:dyDescent="0.2">
      <c r="A326" t="str">
        <f>HYPERLINK("http://skyunderfeet.com/share", "http://skyunderfeet.com/share")</f>
        <v>http://skyunderfeet.com/share</v>
      </c>
      <c r="B326" t="s">
        <v>5</v>
      </c>
      <c r="C326" t="str">
        <f>HYPERLINK("https://www.reddit.com/r/opendirectories/comments/5hd1dg", "Lots of music in .zip files")</f>
        <v>Lots of music in .zip files</v>
      </c>
      <c r="D326" t="s">
        <v>562</v>
      </c>
    </row>
    <row r="327" spans="1:4" x14ac:dyDescent="0.2">
      <c r="A327" t="str">
        <f>HYPERLINK("http://www.ibiblio.org/pandora", "http://www.ibiblio.org/pandora")</f>
        <v>http://www.ibiblio.org/pandora</v>
      </c>
      <c r="B327" t="s">
        <v>5</v>
      </c>
      <c r="C327" t="str">
        <f>HYPERLINK("https://www.reddit.com/r/opendirectories/comments/53dwvo", "Mostly classical music, mp3 and vorbis")</f>
        <v>Mostly classical music, mp3 and vorbis</v>
      </c>
      <c r="D327" t="s">
        <v>510</v>
      </c>
    </row>
    <row r="328" spans="1:4" x14ac:dyDescent="0.2">
      <c r="A328" t="str">
        <f>HYPERLINK("http://herenow.co.il/stuff", "http://herenow.co.il/stuff")</f>
        <v>http://herenow.co.il/stuff</v>
      </c>
      <c r="B328" t="s">
        <v>5</v>
      </c>
      <c r="C328" t="str">
        <f>HYPERLINK("https://www.reddit.com/r/opendirectories/comments/52z0hr", "2 music ones. One is alphabetical and the other is the 1000 greatest rock songs of all time. Not sure of anything else")</f>
        <v>2 music ones. One is alphabetical and the other is the 1000 greatest rock songs of all time. Not sure of anything else</v>
      </c>
      <c r="D328" t="s">
        <v>563</v>
      </c>
    </row>
    <row r="329" spans="1:4" x14ac:dyDescent="0.2">
      <c r="A329" t="str">
        <f>HYPERLINK("http://robdietz.net/fileswap", "http://robdietz.net/fileswap")</f>
        <v>http://robdietz.net/fileswap</v>
      </c>
      <c r="B329" t="s">
        <v>5</v>
      </c>
      <c r="C329" t="str">
        <f>HYPERLINK("https://www.reddit.com/r/opendirectories/comments/4vszct", "Small selection - but it includes some quality punk/hardcore music.")</f>
        <v>Small selection - but it includes some quality punk/hardcore music.</v>
      </c>
      <c r="D329" t="s">
        <v>564</v>
      </c>
    </row>
    <row r="330" spans="1:4" x14ac:dyDescent="0.2">
      <c r="A330" t="str">
        <f>HYPERLINK("http://leafo.net", "http://leafo.net")</f>
        <v>http://leafo.net</v>
      </c>
      <c r="B330" t="s">
        <v>5</v>
      </c>
      <c r="C330" t="str">
        <f>HYPERLINK("https://www.reddit.com/r/opendirectories/comments/4vstfg", "Music, pictures, a handy book about how to say no to drugs. The parent directory contains some really weird stuff.")</f>
        <v>Music, pictures, a handy book about how to say no to drugs. The parent directory contains some really weird stuff.</v>
      </c>
      <c r="D330" t="s">
        <v>564</v>
      </c>
    </row>
    <row r="331" spans="1:4" x14ac:dyDescent="0.2">
      <c r="A331" t="str">
        <f>HYPERLINK("http://seramyu.mabdese.net/music", "http://seramyu.mabdese.net/music")</f>
        <v>http://seramyu.mabdese.net/music</v>
      </c>
      <c r="B331" t="s">
        <v>5</v>
      </c>
      <c r="C331" t="str">
        <f>HYPERLINK("https://www.reddit.com/r/opendirectories/comments/4sq2ny", "Very Bizarre Sailor Moon music, complete with album covers and other assorted junk")</f>
        <v>Very Bizarre Sailor Moon music, complete with album covers and other assorted junk</v>
      </c>
      <c r="D331" t="s">
        <v>354</v>
      </c>
    </row>
    <row r="332" spans="1:4" x14ac:dyDescent="0.2">
      <c r="A332" t="str">
        <f>HYPERLINK("http://www.vgmusic.com/music/console", "http://www.vgmusic.com/music/console")</f>
        <v>http://www.vgmusic.com/music/console</v>
      </c>
      <c r="B332" t="s">
        <v>5</v>
      </c>
      <c r="C332" t="str">
        <f>HYPERLINK("https://www.reddit.com/r/opendirectories/comments/4sq03n", "Huge collection of midi files of video game music from every console under the sun")</f>
        <v>Huge collection of midi files of video game music from every console under the sun</v>
      </c>
      <c r="D332" t="s">
        <v>354</v>
      </c>
    </row>
    <row r="333" spans="1:4" x14ac:dyDescent="0.2">
      <c r="A333" t="str">
        <f>HYPERLINK("http://lemondemon.com/downloads", "http://lemondemon.com/downloads")</f>
        <v>http://lemondemon.com/downloads</v>
      </c>
      <c r="B333" t="s">
        <v>5</v>
      </c>
      <c r="C333" t="str">
        <f>HYPERLINK("https://www.reddit.com/r/opendirectories/comments/4imd78", "A few free Lemon Demon (Neil Cicierega) songs.")</f>
        <v>A few free Lemon Demon (Neil Cicierega) songs.</v>
      </c>
      <c r="D333" t="s">
        <v>565</v>
      </c>
    </row>
    <row r="334" spans="1:4" x14ac:dyDescent="0.2">
      <c r="A334" t="str">
        <f>HYPERLINK("http://psf2.joshw.info", "http://psf2.joshw.info")</f>
        <v>http://psf2.joshw.info</v>
      </c>
      <c r="B334" t="s">
        <v>5</v>
      </c>
      <c r="C334" t="str">
        <f>HYPERLINK("https://www.reddit.com/r/opendirectories/comments/4cwbgu", "So many PS2 roms")</f>
        <v>So many PS2 roms</v>
      </c>
      <c r="D334" t="s">
        <v>566</v>
      </c>
    </row>
    <row r="335" spans="1:4" x14ac:dyDescent="0.2">
      <c r="A335" t="str">
        <f>HYPERLINK("http://www.protoman.com", "http://www.protoman.com")</f>
        <v>http://www.protoman.com</v>
      </c>
      <c r="B335" t="s">
        <v>5</v>
      </c>
      <c r="C335" t="str">
        <f>HYPERLINK("https://www.reddit.com/r/opendirectories/comments/3eyi0g", "Video game music and soundtracks in various formats.")</f>
        <v>Video game music and soundtracks in various formats.</v>
      </c>
      <c r="D335" t="s">
        <v>357</v>
      </c>
    </row>
    <row r="336" spans="1:4" x14ac:dyDescent="0.2">
      <c r="A336" t="str">
        <f>HYPERLINK("http://www.jamiedole.com/music", "http://www.jamiedole.com/music")</f>
        <v>http://www.jamiedole.com/music</v>
      </c>
      <c r="B336" t="s">
        <v>5</v>
      </c>
      <c r="C336" t="str">
        <f>HYPERLINK("https://www.reddit.com/r/opendirectories/comments/48qglp", "Small collection of music. (And the music from Book of Mormon!)")</f>
        <v>Small collection of music. (And the music from Book of Mormon!)</v>
      </c>
      <c r="D336" t="s">
        <v>567</v>
      </c>
    </row>
    <row r="337" spans="1:5" x14ac:dyDescent="0.2">
      <c r="A337" t="str">
        <f>HYPERLINK("http://www.erratum.org/datas", "http://www.erratum.org/datas")</f>
        <v>http://www.erratum.org/datas</v>
      </c>
      <c r="B337" t="s">
        <v>5</v>
      </c>
      <c r="C337" t="str">
        <f>HYPERLINK("https://www.reddit.com/r/opendirectories/comments/471n3e", "Arty music and films")</f>
        <v>Arty music and films</v>
      </c>
      <c r="D337" t="s">
        <v>431</v>
      </c>
    </row>
    <row r="338" spans="1:5" x14ac:dyDescent="0.2">
      <c r="A338" t="str">
        <f>HYPERLINK("http://sheets-piano.ru/wp-content/uploads", "http://sheets-piano.ru/wp-content/uploads")</f>
        <v>http://sheets-piano.ru/wp-content/uploads</v>
      </c>
      <c r="B338" t="s">
        <v>5</v>
      </c>
      <c r="C338" t="str">
        <f>HYPERLINK("https://www.reddit.com/r/opendirectories/comments/4275bo", "Sheet music for all tastes, in English, Russian, and more. (PDF)")</f>
        <v>Sheet music for all tastes, in English, Russian, and more. (PDF)</v>
      </c>
      <c r="D338" t="s">
        <v>568</v>
      </c>
      <c r="E338" t="s">
        <v>156</v>
      </c>
    </row>
    <row r="339" spans="1:5" x14ac:dyDescent="0.2">
      <c r="A339" t="str">
        <f>HYPERLINK("http://ranger.befunk.com", "http://ranger.befunk.com")</f>
        <v>http://ranger.befunk.com</v>
      </c>
      <c r="B339" t="s">
        <v>5</v>
      </c>
      <c r="C339" t="str">
        <f>HYPERLINK("https://www.reddit.com/r/opendirectories/comments/3lm4gy", "/u/wearehidden's directory dump (with more organization / info)")</f>
        <v>/u/wearehidden's directory dump (with more organization / info)</v>
      </c>
      <c r="D339" t="s">
        <v>358</v>
      </c>
      <c r="E339" t="s">
        <v>359</v>
      </c>
    </row>
    <row r="340" spans="1:5" x14ac:dyDescent="0.2">
      <c r="A340" t="str">
        <f>HYPERLINK("http://chriscargile.com/music", "http://chriscargile.com/music")</f>
        <v>http://chriscargile.com/music</v>
      </c>
      <c r="B340" t="s">
        <v>5</v>
      </c>
      <c r="C340" t="str">
        <f>HYPERLINK("https://www.reddit.com/r/opendirectories/comments/3dsn9t", "Music MP3/WMA")</f>
        <v>Music MP3/WMA</v>
      </c>
      <c r="D340" t="s">
        <v>512</v>
      </c>
    </row>
    <row r="341" spans="1:5" x14ac:dyDescent="0.2">
      <c r="A341" t="str">
        <f>HYPERLINK("http://www.softpro.ee/442,903", "http://www.softpro.ee/442,903")</f>
        <v>http://www.softpro.ee/442,903</v>
      </c>
      <c r="B341" t="s">
        <v>5</v>
      </c>
      <c r="C341" t="str">
        <f>HYPERLINK("https://www.reddit.com/r/opendirectories/comments/349ovd", "Top 100 Masterpieces of Classical Music (1685-1928)")</f>
        <v>Top 100 Masterpieces of Classical Music (1685-1928)</v>
      </c>
      <c r="D341" t="s">
        <v>569</v>
      </c>
    </row>
    <row r="342" spans="1:5" x14ac:dyDescent="0.2">
      <c r="A342" t="str">
        <f>HYPERLINK("https://ftp.severinsson.net", "https://ftp.severinsson.net")</f>
        <v>https://ftp.severinsson.net</v>
      </c>
      <c r="B342" t="s">
        <v>5</v>
      </c>
      <c r="C342" t="str">
        <f>HYPERLINK("https://www.reddit.com/r/opendirectories/comments/30a6qq", "Music, movies, ebooks, audio books")</f>
        <v>Music, movies, ebooks, audio books</v>
      </c>
      <c r="D342" t="s">
        <v>434</v>
      </c>
    </row>
    <row r="343" spans="1:5" x14ac:dyDescent="0.2">
      <c r="A343" t="str">
        <f>HYPERLINK("http://ns2.circleway.org", "http://ns2.circleway.org")</f>
        <v>http://ns2.circleway.org</v>
      </c>
      <c r="B343" t="s">
        <v>5</v>
      </c>
      <c r="C343" t="str">
        <f>HYPERLINK("https://www.reddit.com/r/opendirectories/comments/2zhs89", "You can teach a man to Phish, or at least listen to them. Some other jam band genre music, too...")</f>
        <v>You can teach a man to Phish, or at least listen to them. Some other jam band genre music, too...</v>
      </c>
      <c r="D343" t="s">
        <v>570</v>
      </c>
    </row>
    <row r="344" spans="1:5" x14ac:dyDescent="0.2">
      <c r="A344" t="str">
        <f>HYPERLINK("http://www.starlitesystems.com/star22", "http://www.starlitesystems.com/star22")</f>
        <v>http://www.starlitesystems.com/star22</v>
      </c>
      <c r="B344" t="s">
        <v>5</v>
      </c>
      <c r="C344" t="str">
        <f>HYPERLINK("https://www.reddit.com/r/opendirectories/comments/2lw5p5", "A decent selection of music")</f>
        <v>A decent selection of music</v>
      </c>
      <c r="D344" t="s">
        <v>571</v>
      </c>
    </row>
    <row r="345" spans="1:5" x14ac:dyDescent="0.2">
      <c r="A345" t="str">
        <f>HYPERLINK("http://usf.joshw.info", "http://usf.joshw.info")</f>
        <v>http://usf.joshw.info</v>
      </c>
      <c r="B345" t="s">
        <v>5</v>
      </c>
      <c r="C345" t="str">
        <f>HYPERLINK("https://www.reddit.com/r/opendirectories/comments/2ctw0g", "For the fellow VGM'ers here who love N64 Game music, a large collection of Miniusf rips! (playback help link in comments)")</f>
        <v>For the fellow VGM'ers here who love N64 Game music, a large collection of Miniusf rips! (playback help link in comments)</v>
      </c>
      <c r="D345" t="s">
        <v>572</v>
      </c>
    </row>
    <row r="346" spans="1:5" x14ac:dyDescent="0.2">
      <c r="A346" t="str">
        <f>HYPERLINK("http://donhodges.com/mp3", "http://donhodges.com/mp3")</f>
        <v>http://donhodges.com/mp3</v>
      </c>
      <c r="B346" t="s">
        <v>5</v>
      </c>
      <c r="C346" t="str">
        <f>HYPERLINK("https://www.reddit.com/r/opendirectories/comments/10fgvr", "Don Hodges Radio Clips: Political Soundbytes (GWB/Rumsfeld from TV/Radio), Alan Watts Lectures, and a weird soundbyte of some one calling in about a UFO")</f>
        <v>Don Hodges Radio Clips: Political Soundbytes (GWB/Rumsfeld from TV/Radio), Alan Watts Lectures, and a weird soundbyte of some one calling in about a UFO</v>
      </c>
      <c r="D346" t="s">
        <v>458</v>
      </c>
    </row>
    <row r="347" spans="1:5" x14ac:dyDescent="0.2">
      <c r="A347" t="str">
        <f>HYPERLINK("http://home.agalakov.spb.ru/Shared", "http://home.agalakov.spb.ru/Shared")</f>
        <v>http://home.agalakov.spb.ru/Shared</v>
      </c>
      <c r="B347" t="s">
        <v>5</v>
      </c>
      <c r="C347" t="str">
        <f>HYPERLINK("https://www.reddit.com/r/opendirectories/comments/tdgu4", "Media which is probably Russian.")</f>
        <v>Media which is probably Russian.</v>
      </c>
      <c r="D347" t="s">
        <v>437</v>
      </c>
      <c r="E347" t="s">
        <v>8</v>
      </c>
    </row>
    <row r="348" spans="1:5" x14ac:dyDescent="0.2">
      <c r="A348" t="str">
        <f>HYPERLINK("http://palined.com/birthday/songs", "http://palined.com/birthday/songs")</f>
        <v>http://palined.com/birthday/songs</v>
      </c>
      <c r="B348" t="s">
        <v>5</v>
      </c>
      <c r="C348" t="str">
        <f>HYPERLINK("https://www.reddit.com/r/opendirectories/comments/e6ldl", "Not really an open directory...")</f>
        <v>Not really an open directory...</v>
      </c>
      <c r="D348" t="s">
        <v>573</v>
      </c>
    </row>
    <row r="349" spans="1:5" x14ac:dyDescent="0.2">
      <c r="A349" t="str">
        <f>HYPERLINK("http://iceberg.braxis.org/~kszysiu", "http://iceberg.braxis.org/~kszysiu")</f>
        <v>http://iceberg.braxis.org/~kszysiu</v>
      </c>
      <c r="B349" t="s">
        <v>5</v>
      </c>
      <c r="C349" t="str">
        <f>HYPERLINK("https://www.reddit.com/r/opendirectories/comments/e0zvy", "Pretty big library of random pictures/songs/clips, there a nice folder of Beksinski works")</f>
        <v>Pretty big library of random pictures/songs/clips, there a nice folder of Beksinski works</v>
      </c>
      <c r="D349" t="s">
        <v>574</v>
      </c>
    </row>
    <row r="350" spans="1:5" x14ac:dyDescent="0.2">
      <c r="A350" t="str">
        <f>HYPERLINK("http://www.prometheus-music.com/audio", "http://www.prometheus-music.com/audio")</f>
        <v>http://www.prometheus-music.com/audio</v>
      </c>
      <c r="B350" t="s">
        <v>5</v>
      </c>
      <c r="C350" t="str">
        <f>HYPERLINK("https://www.reddit.com/r/opendirectories/comments/cqf5j", "Some nerdy songs: fantasy/science fiction/geek themed (Leslie Fish, Julia Ecklar, Kristoph Klover) - some high-quality recordings, some low. (nyud.net unnecessary - see read-me-first.txt)")</f>
        <v>Some nerdy songs: fantasy/science fiction/geek themed (Leslie Fish, Julia Ecklar, Kristoph Klover) - some high-quality recordings, some low. (nyud.net unnecessary - see read-me-first.txt)</v>
      </c>
      <c r="D350" t="s">
        <v>575</v>
      </c>
    </row>
    <row r="351" spans="1:5" x14ac:dyDescent="0.2">
      <c r="A351" t="str">
        <f>HYPERLINK("http://www.kickassclassical.com", "http://www.kickassclassical.com")</f>
        <v>http://www.kickassclassical.com</v>
      </c>
      <c r="B351" t="s">
        <v>5</v>
      </c>
      <c r="C351" t="str">
        <f>HYPERLINK("https://www.reddit.com/r/opendirectories/comments/a9v4k", "Know where I can find some classical music...?")</f>
        <v>Know where I can find some classical music...?</v>
      </c>
      <c r="D351" t="s">
        <v>576</v>
      </c>
    </row>
    <row r="352" spans="1:5" x14ac:dyDescent="0.2">
      <c r="A352" t="str">
        <f>HYPERLINK("http://franxman.com", "http://franxman.com")</f>
        <v>http://franxman.com</v>
      </c>
      <c r="B352" t="s">
        <v>5</v>
      </c>
      <c r="D352" t="s">
        <v>438</v>
      </c>
    </row>
  </sheetData>
  <pageMargins left="0.75" right="0.75" top="1" bottom="1" header="0.511811023622047" footer="0.511811023622047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"/>
  <sheetViews>
    <sheetView zoomScaleNormal="100" workbookViewId="0"/>
  </sheetViews>
  <sheetFormatPr baseColWidth="10" defaultColWidth="8.83203125" defaultRowHeight="15" x14ac:dyDescent="0.2"/>
  <cols>
    <col min="1" max="1" width="50" customWidth="1"/>
    <col min="3" max="3" width="80" customWidth="1"/>
    <col min="4" max="4" width="11" customWidth="1"/>
    <col min="5" max="5" width="80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tr">
        <f>HYPERLINK("https://download.quranicaudio.com", "https://download.quranicaudio.com")</f>
        <v>https://download.quranicaudio.com</v>
      </c>
      <c r="B2" t="s">
        <v>5</v>
      </c>
      <c r="C2" t="str">
        <f>HYPERLINK("https://www.reddit.com/r/opendirectories/comments/i8sywl", "Coran, Alcorán, Qurán, Korán in mp3")</f>
        <v>Coran, Alcorán, Qurán, Korán in mp3</v>
      </c>
      <c r="D2" t="s">
        <v>481</v>
      </c>
    </row>
    <row r="3" spans="1:5" x14ac:dyDescent="0.2">
      <c r="A3" t="str">
        <f>HYPERLINK("https://datapacket.com", "https://datapacket.com")</f>
        <v>https://datapacket.com</v>
      </c>
      <c r="B3" t="s">
        <v>5</v>
      </c>
      <c r="C3" t="str">
        <f>HYPERLINK("https://www.reddit.com/r/opendirectories/comments/92fnzh", "Revamped Fusker System - View Open Directory Images @ The-Eye")</f>
        <v>Revamped Fusker System - View Open Directory Images @ The-Eye</v>
      </c>
      <c r="D3" t="s">
        <v>161</v>
      </c>
    </row>
    <row r="4" spans="1:5" x14ac:dyDescent="0.2">
      <c r="A4" t="str">
        <f>HYPERLINK("http://razorlan.info/files", "http://razorlan.info/files")</f>
        <v>http://razorlan.info/files</v>
      </c>
      <c r="B4" t="s">
        <v>5</v>
      </c>
      <c r="C4" t="str">
        <f>HYPERLINK("https://www.reddit.com/r/opendirectories/comments/940yup", "Lod of the Rings Audiobook more on the PD")</f>
        <v>Lod of the Rings Audiobook more on the PD</v>
      </c>
      <c r="D4" t="s">
        <v>577</v>
      </c>
    </row>
    <row r="5" spans="1:5" x14ac:dyDescent="0.2">
      <c r="A5" t="str">
        <f>HYPERLINK("http://www.emmyg.dingernet.com/Collins,%20Jim%20-%20Good%20to%20Great", "http://www.emmyg.dingernet.com/Collins,%20Jim%20-%20Good%20to%20Great")</f>
        <v>http://www.emmyg.dingernet.com/Collins,%20Jim%20-%20Good%20to%20Great</v>
      </c>
      <c r="B5" t="s">
        <v>5</v>
      </c>
      <c r="C5" t="str">
        <f>HYPERLINK("https://www.reddit.com/r/opendirectories/comments/62h9gr", "From Good to Great Audiobook")</f>
        <v>From Good to Great Audiobook</v>
      </c>
      <c r="D5" t="s">
        <v>578</v>
      </c>
    </row>
  </sheetData>
  <pageMargins left="0.75" right="0.75" top="1" bottom="1" header="0.511811023622047" footer="0.511811023622047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84"/>
  <sheetViews>
    <sheetView zoomScaleNormal="100" workbookViewId="0"/>
  </sheetViews>
  <sheetFormatPr baseColWidth="10" defaultColWidth="8.83203125" defaultRowHeight="15" x14ac:dyDescent="0.2"/>
  <cols>
    <col min="1" max="1" width="50" customWidth="1"/>
    <col min="3" max="3" width="80" customWidth="1"/>
    <col min="4" max="4" width="11" customWidth="1"/>
    <col min="5" max="5" width="80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tr">
        <f>HYPERLINK("http://ingar.intranifty.net", "http://ingar.intranifty.net")</f>
        <v>http://ingar.intranifty.net</v>
      </c>
      <c r="B2" t="s">
        <v>5</v>
      </c>
      <c r="C2" t="str">
        <f t="shared" ref="C2:C10" si="0">HYPERLINK("https://www.reddit.com/r/opendirectories/comments/pp71gr", "2021-09-16 Daily post")</f>
        <v>2021-09-16 Daily post</v>
      </c>
      <c r="D2" t="s">
        <v>7</v>
      </c>
    </row>
    <row r="3" spans="1:5" x14ac:dyDescent="0.2">
      <c r="A3" t="str">
        <f>HYPERLINK("http://www.huzheng.org", "http://www.huzheng.org")</f>
        <v>http://www.huzheng.org</v>
      </c>
      <c r="B3" t="s">
        <v>5</v>
      </c>
      <c r="C3" t="str">
        <f t="shared" si="0"/>
        <v>2021-09-16 Daily post</v>
      </c>
      <c r="D3" t="s">
        <v>7</v>
      </c>
    </row>
    <row r="4" spans="1:5" x14ac:dyDescent="0.2">
      <c r="A4" t="str">
        <f>HYPERLINK("http://markburgess.org/music", "http://markburgess.org/music")</f>
        <v>http://markburgess.org/music</v>
      </c>
      <c r="B4" t="s">
        <v>5</v>
      </c>
      <c r="C4" t="str">
        <f t="shared" si="0"/>
        <v>2021-09-16 Daily post</v>
      </c>
      <c r="D4" t="s">
        <v>7</v>
      </c>
    </row>
    <row r="5" spans="1:5" x14ac:dyDescent="0.2">
      <c r="A5" t="str">
        <f>HYPERLINK("https://www.backtracking-music.de/uranus", "https://www.backtracking-music.de/uranus")</f>
        <v>https://www.backtracking-music.de/uranus</v>
      </c>
      <c r="B5" t="s">
        <v>5</v>
      </c>
      <c r="C5" t="str">
        <f t="shared" si="0"/>
        <v>2021-09-16 Daily post</v>
      </c>
      <c r="D5" t="s">
        <v>7</v>
      </c>
    </row>
    <row r="6" spans="1:5" x14ac:dyDescent="0.2">
      <c r="A6" t="str">
        <f>HYPERLINK("https://musicinsideout.wwno.org/audio", "https://musicinsideout.wwno.org/audio")</f>
        <v>https://musicinsideout.wwno.org/audio</v>
      </c>
      <c r="B6" t="s">
        <v>5</v>
      </c>
      <c r="C6" t="str">
        <f t="shared" si="0"/>
        <v>2021-09-16 Daily post</v>
      </c>
      <c r="D6" t="s">
        <v>7</v>
      </c>
    </row>
    <row r="7" spans="1:5" x14ac:dyDescent="0.2">
      <c r="A7" t="str">
        <f>HYPERLINK("https://music.maxton.xyz/tracks", "https://music.maxton.xyz/tracks")</f>
        <v>https://music.maxton.xyz/tracks</v>
      </c>
      <c r="B7" t="s">
        <v>5</v>
      </c>
      <c r="C7" t="str">
        <f t="shared" si="0"/>
        <v>2021-09-16 Daily post</v>
      </c>
      <c r="D7" t="s">
        <v>7</v>
      </c>
    </row>
    <row r="8" spans="1:5" x14ac:dyDescent="0.2">
      <c r="A8" t="str">
        <f>HYPERLINK("http://scipp.ucsc.edu/~profumo/misc", "http://scipp.ucsc.edu/~profumo/misc")</f>
        <v>http://scipp.ucsc.edu/~profumo/misc</v>
      </c>
      <c r="B8" t="s">
        <v>5</v>
      </c>
      <c r="C8" t="str">
        <f t="shared" si="0"/>
        <v>2021-09-16 Daily post</v>
      </c>
      <c r="D8" t="s">
        <v>7</v>
      </c>
    </row>
    <row r="9" spans="1:5" x14ac:dyDescent="0.2">
      <c r="A9" t="str">
        <f>HYPERLINK("https://people.duke.edu/~ajk17", "https://people.duke.edu/~ajk17")</f>
        <v>https://people.duke.edu/~ajk17</v>
      </c>
      <c r="B9" t="s">
        <v>5</v>
      </c>
      <c r="C9" t="str">
        <f t="shared" si="0"/>
        <v>2021-09-16 Daily post</v>
      </c>
      <c r="D9" t="s">
        <v>7</v>
      </c>
    </row>
    <row r="10" spans="1:5" x14ac:dyDescent="0.2">
      <c r="A10" t="str">
        <f>HYPERLINK("http://socialdance.stanford.edu/music", "http://socialdance.stanford.edu/music")</f>
        <v>http://socialdance.stanford.edu/music</v>
      </c>
      <c r="B10" t="s">
        <v>5</v>
      </c>
      <c r="C10" t="str">
        <f t="shared" si="0"/>
        <v>2021-09-16 Daily post</v>
      </c>
      <c r="D10" t="s">
        <v>7</v>
      </c>
    </row>
    <row r="11" spans="1:5" x14ac:dyDescent="0.2">
      <c r="A11" t="str">
        <f>HYPERLINK("http://www.bios.unc.edu/~zhabotyn", "http://www.bios.unc.edu/~zhabotyn")</f>
        <v>http://www.bios.unc.edu/~zhabotyn</v>
      </c>
      <c r="B11" t="s">
        <v>5</v>
      </c>
      <c r="C11" t="str">
        <f>HYPERLINK("https://www.reddit.com/r/opendirectories/comments/pnjlv6", "Recipes")</f>
        <v>Recipes</v>
      </c>
      <c r="D11" t="s">
        <v>9</v>
      </c>
    </row>
    <row r="12" spans="1:5" x14ac:dyDescent="0.2">
      <c r="A12" t="str">
        <f>HYPERLINK("https://www.espros.com", "https://www.espros.com")</f>
        <v>https://www.espros.com</v>
      </c>
      <c r="B12" t="s">
        <v>5</v>
      </c>
      <c r="C12" t="str">
        <f t="shared" ref="C12:C19" si="1">HYPERLINK("https://www.reddit.com/r/opendirectories/comments/pmqh90", "2021-09-12 Daily post")</f>
        <v>2021-09-12 Daily post</v>
      </c>
      <c r="D12" t="s">
        <v>459</v>
      </c>
    </row>
    <row r="13" spans="1:5" x14ac:dyDescent="0.2">
      <c r="A13" t="str">
        <f>HYPERLINK("https://www.konrow.com/download", "https://www.konrow.com/download")</f>
        <v>https://www.konrow.com/download</v>
      </c>
      <c r="B13" t="s">
        <v>5</v>
      </c>
      <c r="C13" t="str">
        <f t="shared" si="1"/>
        <v>2021-09-12 Daily post</v>
      </c>
      <c r="D13" t="s">
        <v>459</v>
      </c>
    </row>
    <row r="14" spans="1:5" x14ac:dyDescent="0.2">
      <c r="A14" t="str">
        <f>HYPERLINK("https://www.dukelearntoprogram.com/downloads", "https://www.dukelearntoprogram.com/downloads")</f>
        <v>https://www.dukelearntoprogram.com/downloads</v>
      </c>
      <c r="B14" t="s">
        <v>5</v>
      </c>
      <c r="C14" t="str">
        <f t="shared" si="1"/>
        <v>2021-09-12 Daily post</v>
      </c>
      <c r="D14" t="s">
        <v>459</v>
      </c>
    </row>
    <row r="15" spans="1:5" x14ac:dyDescent="0.2">
      <c r="A15" t="str">
        <f>HYPERLINK("https://apc.u-paris.fr/Downloads", "https://apc.u-paris.fr/Downloads")</f>
        <v>https://apc.u-paris.fr/Downloads</v>
      </c>
      <c r="B15" t="s">
        <v>5</v>
      </c>
      <c r="C15" t="str">
        <f t="shared" si="1"/>
        <v>2021-09-12 Daily post</v>
      </c>
      <c r="D15" t="s">
        <v>459</v>
      </c>
    </row>
    <row r="16" spans="1:5" x14ac:dyDescent="0.2">
      <c r="A16" t="str">
        <f>HYPERLINK("https://www.3dhistech.com/downloads", "https://www.3dhistech.com/downloads")</f>
        <v>https://www.3dhistech.com/downloads</v>
      </c>
      <c r="B16" t="s">
        <v>5</v>
      </c>
      <c r="C16" t="str">
        <f t="shared" si="1"/>
        <v>2021-09-12 Daily post</v>
      </c>
      <c r="D16" t="s">
        <v>459</v>
      </c>
    </row>
    <row r="17" spans="1:5" x14ac:dyDescent="0.2">
      <c r="A17" t="str">
        <f>HYPERLINK("http://www.tfcumc.org/music", "http://www.tfcumc.org/music")</f>
        <v>http://www.tfcumc.org/music</v>
      </c>
      <c r="B17" t="s">
        <v>5</v>
      </c>
      <c r="C17" t="str">
        <f t="shared" si="1"/>
        <v>2021-09-12 Daily post</v>
      </c>
      <c r="D17" t="s">
        <v>459</v>
      </c>
    </row>
    <row r="18" spans="1:5" x14ac:dyDescent="0.2">
      <c r="A18" t="str">
        <f>HYPERLINK("https://dalemuus.home.xs4all.nl", "https://dalemuus.home.xs4all.nl")</f>
        <v>https://dalemuus.home.xs4all.nl</v>
      </c>
      <c r="B18" t="s">
        <v>5</v>
      </c>
      <c r="C18" t="str">
        <f t="shared" si="1"/>
        <v>2021-09-12 Daily post</v>
      </c>
      <c r="D18" t="s">
        <v>459</v>
      </c>
    </row>
    <row r="19" spans="1:5" x14ac:dyDescent="0.2">
      <c r="A19" t="str">
        <f>HYPERLINK("http://www.andrelouis.com/media", "http://www.andrelouis.com/media")</f>
        <v>http://www.andrelouis.com/media</v>
      </c>
      <c r="B19" t="s">
        <v>5</v>
      </c>
      <c r="C19" t="str">
        <f t="shared" si="1"/>
        <v>2021-09-12 Daily post</v>
      </c>
      <c r="D19" t="s">
        <v>459</v>
      </c>
    </row>
    <row r="20" spans="1:5" x14ac:dyDescent="0.2">
      <c r="A20" t="str">
        <f>HYPERLINK("http://wateryaml.cn", "http://wateryaml.cn")</f>
        <v>http://wateryaml.cn</v>
      </c>
      <c r="B20" t="s">
        <v>5</v>
      </c>
      <c r="C20" t="str">
        <f t="shared" ref="C20:C26" si="2">HYPERLINK("https://www.reddit.com/r/opendirectories/comments/plkcmr", "2021-09-10 Daily post")</f>
        <v>2021-09-10 Daily post</v>
      </c>
      <c r="D20" t="s">
        <v>261</v>
      </c>
      <c r="E20" t="s">
        <v>61</v>
      </c>
    </row>
    <row r="21" spans="1:5" x14ac:dyDescent="0.2">
      <c r="A21" t="str">
        <f>HYPERLINK("https://rohandrape.net/rd", "https://rohandrape.net/rd")</f>
        <v>https://rohandrape.net/rd</v>
      </c>
      <c r="B21" t="s">
        <v>5</v>
      </c>
      <c r="C21" t="str">
        <f t="shared" si="2"/>
        <v>2021-09-10 Daily post</v>
      </c>
      <c r="D21" t="s">
        <v>261</v>
      </c>
      <c r="E21" t="s">
        <v>61</v>
      </c>
    </row>
    <row r="22" spans="1:5" x14ac:dyDescent="0.2">
      <c r="A22" t="str">
        <f>HYPERLINK("https://www.cs.cmu.edu/~lblum/flac/Handouts_pdf", "https://www.cs.cmu.edu/~lblum/flac/Handouts_pdf")</f>
        <v>https://www.cs.cmu.edu/~lblum/flac/Handouts_pdf</v>
      </c>
      <c r="B22" t="s">
        <v>5</v>
      </c>
      <c r="C22" t="str">
        <f t="shared" si="2"/>
        <v>2021-09-10 Daily post</v>
      </c>
      <c r="D22" t="s">
        <v>261</v>
      </c>
      <c r="E22" t="s">
        <v>61</v>
      </c>
    </row>
    <row r="23" spans="1:5" x14ac:dyDescent="0.2">
      <c r="A23" t="str">
        <f>HYPERLINK("http://www.lindberg.no/hires", "http://www.lindberg.no/hires")</f>
        <v>http://www.lindberg.no/hires</v>
      </c>
      <c r="B23" t="s">
        <v>5</v>
      </c>
      <c r="C23" t="str">
        <f t="shared" si="2"/>
        <v>2021-09-10 Daily post</v>
      </c>
      <c r="D23" t="s">
        <v>261</v>
      </c>
      <c r="E23" t="s">
        <v>61</v>
      </c>
    </row>
    <row r="24" spans="1:5" x14ac:dyDescent="0.2">
      <c r="A24" t="str">
        <f>HYPERLINK("https://samples.ffmpeg.org", "https://samples.ffmpeg.org")</f>
        <v>https://samples.ffmpeg.org</v>
      </c>
      <c r="B24" t="s">
        <v>5</v>
      </c>
      <c r="C24" t="str">
        <f t="shared" si="2"/>
        <v>2021-09-10 Daily post</v>
      </c>
      <c r="D24" t="s">
        <v>261</v>
      </c>
      <c r="E24" t="s">
        <v>61</v>
      </c>
    </row>
    <row r="25" spans="1:5" x14ac:dyDescent="0.2">
      <c r="A25" t="str">
        <f>HYPERLINK("https://files.valhallagameplays.info", "https://files.valhallagameplays.info")</f>
        <v>https://files.valhallagameplays.info</v>
      </c>
      <c r="B25" t="s">
        <v>5</v>
      </c>
      <c r="C25" t="str">
        <f t="shared" si="2"/>
        <v>2021-09-10 Daily post</v>
      </c>
      <c r="D25" t="s">
        <v>261</v>
      </c>
      <c r="E25" t="s">
        <v>61</v>
      </c>
    </row>
    <row r="26" spans="1:5" x14ac:dyDescent="0.2">
      <c r="A26" t="str">
        <f>HYPERLINK("https://www.nlnetlabs.nl/downloads", "https://www.nlnetlabs.nl/downloads")</f>
        <v>https://www.nlnetlabs.nl/downloads</v>
      </c>
      <c r="B26" t="s">
        <v>5</v>
      </c>
      <c r="C26" t="str">
        <f t="shared" si="2"/>
        <v>2021-09-10 Daily post</v>
      </c>
      <c r="D26" t="s">
        <v>261</v>
      </c>
      <c r="E26" t="s">
        <v>61</v>
      </c>
    </row>
    <row r="27" spans="1:5" x14ac:dyDescent="0.2">
      <c r="A27" t="str">
        <f>HYPERLINK("https://www.kevincfi.com", "https://www.kevincfi.com")</f>
        <v>https://www.kevincfi.com</v>
      </c>
      <c r="B27" t="s">
        <v>5</v>
      </c>
      <c r="C27" t="str">
        <f>HYPERLINK("https://www.reddit.com/r/opendirectories/comments/izxg8f", "aircraft flight manuals")</f>
        <v>aircraft flight manuals</v>
      </c>
      <c r="D27" t="s">
        <v>579</v>
      </c>
    </row>
    <row r="28" spans="1:5" x14ac:dyDescent="0.2">
      <c r="A28" t="str">
        <f>HYPERLINK("http://82.146.35.30", "http://82.146.35.30")</f>
        <v>http://82.146.35.30</v>
      </c>
      <c r="B28" t="s">
        <v>5</v>
      </c>
      <c r="C28" t="str">
        <f>HYPERLINK("https://www.reddit.com/r/opendirectories/comments/p6osqg", "lots and lots of text documents")</f>
        <v>lots and lots of text documents</v>
      </c>
      <c r="D28" t="s">
        <v>15</v>
      </c>
    </row>
    <row r="29" spans="1:5" x14ac:dyDescent="0.2">
      <c r="A29" t="str">
        <f>HYPERLINK("http://flossdata.syr.edu", "http://flossdata.syr.edu")</f>
        <v>http://flossdata.syr.edu</v>
      </c>
      <c r="B29" t="s">
        <v>5</v>
      </c>
      <c r="C29" t="str">
        <f>HYPERLINK("https://www.reddit.com/r/opendirectories/comments/p2sfts", "Linus Torvalds is a dick: The compilation")</f>
        <v>Linus Torvalds is a dick: The compilation</v>
      </c>
      <c r="D29" t="s">
        <v>580</v>
      </c>
    </row>
    <row r="30" spans="1:5" x14ac:dyDescent="0.2">
      <c r="A30" t="str">
        <f>HYPERLINK("https://manual.calibre-ebook.com", "https://manual.calibre-ebook.com")</f>
        <v>https://manual.calibre-ebook.com</v>
      </c>
      <c r="B30" t="s">
        <v>5</v>
      </c>
      <c r="C30" t="str">
        <f>HYPERLINK("https://www.reddit.com/r/opendirectories/comments/n710jf", "CALISHOT 2021-05: Find ebooks among 416 Calibre sites")</f>
        <v>CALISHOT 2021-05: Find ebooks among 416 Calibre sites</v>
      </c>
      <c r="D30" t="s">
        <v>31</v>
      </c>
      <c r="E30" t="s">
        <v>14</v>
      </c>
    </row>
    <row r="31" spans="1:5" x14ac:dyDescent="0.2">
      <c r="A31" t="str">
        <f>HYPERLINK("https://www.cloud-clone.us/manual", "https://www.cloud-clone.us/manual")</f>
        <v>https://www.cloud-clone.us/manual</v>
      </c>
      <c r="B31" t="s">
        <v>5</v>
      </c>
      <c r="C31" t="str">
        <f>HYPERLINK("https://www.reddit.com/r/opendirectories/comments/oyo2vi", "Immunology assay kit manuals")</f>
        <v>Immunology assay kit manuals</v>
      </c>
      <c r="D31" t="s">
        <v>581</v>
      </c>
    </row>
    <row r="32" spans="1:5" x14ac:dyDescent="0.2">
      <c r="A32" t="str">
        <f>HYPERLINK("https://neurophysics.ucsd.edu/Manuals", "https://neurophysics.ucsd.edu/Manuals")</f>
        <v>https://neurophysics.ucsd.edu/Manuals</v>
      </c>
      <c r="B32" t="s">
        <v>5</v>
      </c>
      <c r="C32" t="str">
        <f>HYPERLINK("https://www.reddit.com/r/opendirectories/comments/o5a6vw", "Lab Equipment, Computing, and Radio Manuals")</f>
        <v>Lab Equipment, Computing, and Radio Manuals</v>
      </c>
      <c r="D32" t="s">
        <v>268</v>
      </c>
    </row>
    <row r="33" spans="1:5" x14ac:dyDescent="0.2">
      <c r="A33" t="str">
        <f>HYPERLINK("http://vtda.org", "http://vtda.org")</f>
        <v>http://vtda.org</v>
      </c>
      <c r="B33" t="s">
        <v>5</v>
      </c>
      <c r="C33" t="str">
        <f>HYPERLINK("https://www.reddit.com/r/opendirectories/comments/o59t5s", "Manuals for Radios, Computers, AV, and much more")</f>
        <v>Manuals for Radios, Computers, AV, and much more</v>
      </c>
      <c r="D33" t="s">
        <v>268</v>
      </c>
    </row>
    <row r="34" spans="1:5" x14ac:dyDescent="0.2">
      <c r="A34" t="str">
        <f>HYPERLINK("https://www.premierproducts-uk.co.uk", "https://www.premierproducts-uk.co.uk")</f>
        <v>https://www.premierproducts-uk.co.uk</v>
      </c>
      <c r="B34" t="s">
        <v>5</v>
      </c>
      <c r="C34" t="str">
        <f>HYPERLINK("https://www.reddit.com/r/opendirectories/comments/o3eswx", "Electric Vehicle Manuals")</f>
        <v>Electric Vehicle Manuals</v>
      </c>
      <c r="D34" t="s">
        <v>25</v>
      </c>
    </row>
    <row r="35" spans="1:5" x14ac:dyDescent="0.2">
      <c r="A35" t="str">
        <f>HYPERLINK("https://www.princeton.edu/~bmalkiel", "https://www.princeton.edu/~bmalkiel")</f>
        <v>https://www.princeton.edu/~bmalkiel</v>
      </c>
      <c r="B35" t="s">
        <v>5</v>
      </c>
      <c r="C35" t="str">
        <f>HYPERLINK("https://www.reddit.com/r/opendirectories/comments/o02j0b", "Some Finance related articles from Princeton University")</f>
        <v>Some Finance related articles from Princeton University</v>
      </c>
      <c r="D35" t="s">
        <v>582</v>
      </c>
    </row>
    <row r="36" spans="1:5" x14ac:dyDescent="0.2">
      <c r="A36" t="str">
        <f>HYPERLINK("http://prisoner627.gegenees.feralhosting.com", "http://prisoner627.gegenees.feralhosting.com")</f>
        <v>http://prisoner627.gegenees.feralhosting.com</v>
      </c>
      <c r="B36" t="s">
        <v>5</v>
      </c>
      <c r="C36" t="str">
        <f t="shared" ref="C36:C44" si="3">HYPERLINK("https://www.reddit.com/r/opendirectories/comments/ns2wcv", "Movies,Series... in English [ENG] - Part 5")</f>
        <v>Movies,Series... in English [ENG] - Part 5</v>
      </c>
      <c r="D36" t="s">
        <v>270</v>
      </c>
      <c r="E36" t="s">
        <v>14</v>
      </c>
    </row>
    <row r="37" spans="1:5" x14ac:dyDescent="0.2">
      <c r="A37" t="str">
        <f>HYPERLINK("http://37.187.98.179", "http://37.187.98.179")</f>
        <v>http://37.187.98.179</v>
      </c>
      <c r="B37" t="s">
        <v>5</v>
      </c>
      <c r="C37" t="str">
        <f t="shared" si="3"/>
        <v>Movies,Series... in English [ENG] - Part 5</v>
      </c>
      <c r="D37" t="s">
        <v>270</v>
      </c>
      <c r="E37" t="s">
        <v>14</v>
      </c>
    </row>
    <row r="38" spans="1:5" x14ac:dyDescent="0.2">
      <c r="A38" t="str">
        <f>HYPERLINK("http://207.180.202.23", "http://207.180.202.23")</f>
        <v>http://207.180.202.23</v>
      </c>
      <c r="B38" t="s">
        <v>5</v>
      </c>
      <c r="C38" t="str">
        <f t="shared" si="3"/>
        <v>Movies,Series... in English [ENG] - Part 5</v>
      </c>
      <c r="D38" t="s">
        <v>270</v>
      </c>
      <c r="E38" t="s">
        <v>14</v>
      </c>
    </row>
    <row r="39" spans="1:5" x14ac:dyDescent="0.2">
      <c r="A39" t="str">
        <f>HYPERLINK("http://dl1.doostihaa.com/files/Doc", "http://dl1.doostihaa.com/files/Doc")</f>
        <v>http://dl1.doostihaa.com/files/Doc</v>
      </c>
      <c r="B39" t="s">
        <v>5</v>
      </c>
      <c r="C39" t="str">
        <f t="shared" si="3"/>
        <v>Movies,Series... in English [ENG] - Part 5</v>
      </c>
      <c r="D39" t="s">
        <v>270</v>
      </c>
      <c r="E39" t="s">
        <v>14</v>
      </c>
    </row>
    <row r="40" spans="1:5" x14ac:dyDescent="0.2">
      <c r="A40" t="str">
        <f>HYPERLINK("http://134.122.55.201", "http://134.122.55.201")</f>
        <v>http://134.122.55.201</v>
      </c>
      <c r="B40" t="s">
        <v>5</v>
      </c>
      <c r="C40" t="str">
        <f t="shared" si="3"/>
        <v>Movies,Series... in English [ENG] - Part 5</v>
      </c>
      <c r="D40" t="s">
        <v>270</v>
      </c>
      <c r="E40" t="s">
        <v>14</v>
      </c>
    </row>
    <row r="41" spans="1:5" x14ac:dyDescent="0.2">
      <c r="A41" t="str">
        <f>HYPERLINK("http://167.114.174.132:9092", "http://167.114.174.132:9092")</f>
        <v>http://167.114.174.132:9092</v>
      </c>
      <c r="B41" t="s">
        <v>5</v>
      </c>
      <c r="C41" t="str">
        <f t="shared" si="3"/>
        <v>Movies,Series... in English [ENG] - Part 5</v>
      </c>
      <c r="D41" t="s">
        <v>270</v>
      </c>
      <c r="E41" t="s">
        <v>14</v>
      </c>
    </row>
    <row r="42" spans="1:5" x14ac:dyDescent="0.2">
      <c r="A42" t="str">
        <f>HYPERLINK("http://195.154.235.161:8888", "http://195.154.235.161:8888")</f>
        <v>http://195.154.235.161:8888</v>
      </c>
      <c r="B42" t="s">
        <v>5</v>
      </c>
      <c r="C42" t="str">
        <f t="shared" si="3"/>
        <v>Movies,Series... in English [ENG] - Part 5</v>
      </c>
      <c r="D42" t="s">
        <v>270</v>
      </c>
      <c r="E42" t="s">
        <v>14</v>
      </c>
    </row>
    <row r="43" spans="1:5" x14ac:dyDescent="0.2">
      <c r="A43" t="str">
        <f>HYPERLINK("http://207.96.127.51:8800", "http://207.96.127.51:8800")</f>
        <v>http://207.96.127.51:8800</v>
      </c>
      <c r="B43" t="s">
        <v>5</v>
      </c>
      <c r="C43" t="str">
        <f t="shared" si="3"/>
        <v>Movies,Series... in English [ENG] - Part 5</v>
      </c>
      <c r="D43" t="s">
        <v>270</v>
      </c>
      <c r="E43" t="s">
        <v>14</v>
      </c>
    </row>
    <row r="44" spans="1:5" x14ac:dyDescent="0.2">
      <c r="A44" t="str">
        <f>HYPERLINK("http://167.86.72.208", "http://167.86.72.208")</f>
        <v>http://167.86.72.208</v>
      </c>
      <c r="B44" t="s">
        <v>5</v>
      </c>
      <c r="C44" t="str">
        <f t="shared" si="3"/>
        <v>Movies,Series... in English [ENG] - Part 5</v>
      </c>
      <c r="D44" t="s">
        <v>270</v>
      </c>
      <c r="E44" t="s">
        <v>14</v>
      </c>
    </row>
    <row r="45" spans="1:5" x14ac:dyDescent="0.2">
      <c r="A45" t="str">
        <f>HYPERLINK("https://www.wells.gov.uk/uploads/documents", "https://www.wells.gov.uk/uploads/documents")</f>
        <v>https://www.wells.gov.uk/uploads/documents</v>
      </c>
      <c r="B45" t="s">
        <v>5</v>
      </c>
      <c r="C45" t="str">
        <f>HYPERLINK("https://www.reddit.com/r/opendirectories/comments/nqt7aw", "XXX")</f>
        <v>XXX</v>
      </c>
      <c r="D45" t="s">
        <v>28</v>
      </c>
    </row>
    <row r="46" spans="1:5" x14ac:dyDescent="0.2">
      <c r="A46" t="str">
        <f>HYPERLINK("https://doc.lagout.org", "https://doc.lagout.org")</f>
        <v>https://doc.lagout.org</v>
      </c>
      <c r="B46" t="s">
        <v>5</v>
      </c>
      <c r="C46" t="str">
        <f>HYPERLINK("https://www.reddit.com/r/opendirectories/comments/6cjdub", "Ebook collection X-Files")</f>
        <v>Ebook collection X-Files</v>
      </c>
      <c r="D46" t="s">
        <v>583</v>
      </c>
      <c r="E46" t="s">
        <v>359</v>
      </c>
    </row>
    <row r="47" spans="1:5" x14ac:dyDescent="0.2">
      <c r="A47" t="str">
        <f>HYPERLINK("https://www.qsl.net/4/4x6on", "https://www.qsl.net/4/4x6on")</f>
        <v>https://www.qsl.net/4/4x6on</v>
      </c>
      <c r="B47" t="s">
        <v>5</v>
      </c>
      <c r="C47" t="str">
        <f t="shared" ref="C47:C53" si="4">HYPERLINK("https://www.reddit.com/r/opendirectories/comments/nlw3er", "Manuals &amp;amp; Schematics")</f>
        <v>Manuals &amp;amp; Schematics</v>
      </c>
      <c r="D47" t="s">
        <v>378</v>
      </c>
    </row>
    <row r="48" spans="1:5" x14ac:dyDescent="0.2">
      <c r="A48" t="str">
        <f>HYPERLINK("https://magicplay.eu", "https://magicplay.eu")</f>
        <v>https://magicplay.eu</v>
      </c>
      <c r="B48" t="s">
        <v>5</v>
      </c>
      <c r="C48" t="str">
        <f t="shared" si="4"/>
        <v>Manuals &amp;amp; Schematics</v>
      </c>
      <c r="D48" t="s">
        <v>378</v>
      </c>
    </row>
    <row r="49" spans="1:4" x14ac:dyDescent="0.2">
      <c r="A49" t="str">
        <f>HYPERLINK("http://roadraceengineering.com/ralliart", "http://roadraceengineering.com/ralliart")</f>
        <v>http://roadraceengineering.com/ralliart</v>
      </c>
      <c r="B49" t="s">
        <v>5</v>
      </c>
      <c r="C49" t="str">
        <f t="shared" si="4"/>
        <v>Manuals &amp;amp; Schematics</v>
      </c>
      <c r="D49" t="s">
        <v>378</v>
      </c>
    </row>
    <row r="50" spans="1:4" x14ac:dyDescent="0.2">
      <c r="A50" t="str">
        <f>HYPERLINK("http://toolsmith.ws/catalogs", "http://toolsmith.ws/catalogs")</f>
        <v>http://toolsmith.ws/catalogs</v>
      </c>
      <c r="B50" t="s">
        <v>5</v>
      </c>
      <c r="C50" t="str">
        <f t="shared" si="4"/>
        <v>Manuals &amp;amp; Schematics</v>
      </c>
      <c r="D50" t="s">
        <v>378</v>
      </c>
    </row>
    <row r="51" spans="1:4" x14ac:dyDescent="0.2">
      <c r="A51" t="str">
        <f>HYPERLINK("http://starin.info/Product%20Info", "http://starin.info/Product%20Info")</f>
        <v>http://starin.info/Product%20Info</v>
      </c>
      <c r="B51" t="s">
        <v>5</v>
      </c>
      <c r="C51" t="str">
        <f t="shared" si="4"/>
        <v>Manuals &amp;amp; Schematics</v>
      </c>
      <c r="D51" t="s">
        <v>378</v>
      </c>
    </row>
    <row r="52" spans="1:4" x14ac:dyDescent="0.2">
      <c r="A52" t="str">
        <f>HYPERLINK("https://www.marlow-hunter.com/wp-content/export", "https://www.marlow-hunter.com/wp-content/export")</f>
        <v>https://www.marlow-hunter.com/wp-content/export</v>
      </c>
      <c r="B52" t="s">
        <v>5</v>
      </c>
      <c r="C52" t="str">
        <f t="shared" si="4"/>
        <v>Manuals &amp;amp; Schematics</v>
      </c>
      <c r="D52" t="s">
        <v>378</v>
      </c>
    </row>
    <row r="53" spans="1:4" x14ac:dyDescent="0.2">
      <c r="A53" t="str">
        <f>HYPERLINK("https://files.bruggeman.tech/ham", "https://files.bruggeman.tech/ham")</f>
        <v>https://files.bruggeman.tech/ham</v>
      </c>
      <c r="B53" t="s">
        <v>5</v>
      </c>
      <c r="C53" t="str">
        <f t="shared" si="4"/>
        <v>Manuals &amp;amp; Schematics</v>
      </c>
      <c r="D53" t="s">
        <v>378</v>
      </c>
    </row>
    <row r="54" spans="1:4" x14ac:dyDescent="0.2">
      <c r="A54" t="str">
        <f>HYPERLINK("http://arcanemedia.cc/ebooks", "http://arcanemedia.cc/ebooks")</f>
        <v>http://arcanemedia.cc/ebooks</v>
      </c>
      <c r="B54" t="s">
        <v>5</v>
      </c>
      <c r="C54" t="str">
        <f t="shared" ref="C54:C71" si="5">HYPERLINK("https://www.reddit.com/r/opendirectories/comments/nl36yk", "Materials")</f>
        <v>Materials</v>
      </c>
      <c r="D54" t="s">
        <v>584</v>
      </c>
    </row>
    <row r="55" spans="1:4" x14ac:dyDescent="0.2">
      <c r="A55" t="str">
        <f>HYPERLINK("https://knowledgeweighsnothing.com/wp-content/uploads", "https://knowledgeweighsnothing.com/wp-content/uploads")</f>
        <v>https://knowledgeweighsnothing.com/wp-content/uploads</v>
      </c>
      <c r="B55" t="s">
        <v>5</v>
      </c>
      <c r="C55" t="str">
        <f t="shared" si="5"/>
        <v>Materials</v>
      </c>
      <c r="D55" t="s">
        <v>584</v>
      </c>
    </row>
    <row r="56" spans="1:4" x14ac:dyDescent="0.2">
      <c r="A56" t="str">
        <f>HYPERLINK("http://klusik.pilsfree.net", "http://klusik.pilsfree.net")</f>
        <v>http://klusik.pilsfree.net</v>
      </c>
      <c r="B56" t="s">
        <v>5</v>
      </c>
      <c r="C56" t="str">
        <f t="shared" si="5"/>
        <v>Materials</v>
      </c>
      <c r="D56" t="s">
        <v>584</v>
      </c>
    </row>
    <row r="57" spans="1:4" x14ac:dyDescent="0.2">
      <c r="A57" t="str">
        <f>HYPERLINK("http://www.conhecer.org.br/download", "http://www.conhecer.org.br/download")</f>
        <v>http://www.conhecer.org.br/download</v>
      </c>
      <c r="B57" t="s">
        <v>5</v>
      </c>
      <c r="C57" t="str">
        <f t="shared" si="5"/>
        <v>Materials</v>
      </c>
      <c r="D57" t="s">
        <v>584</v>
      </c>
    </row>
    <row r="58" spans="1:4" x14ac:dyDescent="0.2">
      <c r="A58" t="str">
        <f>HYPERLINK("http://claudeschneider.com/shared", "http://claudeschneider.com/shared")</f>
        <v>http://claudeschneider.com/shared</v>
      </c>
      <c r="B58" t="s">
        <v>5</v>
      </c>
      <c r="C58" t="str">
        <f t="shared" si="5"/>
        <v>Materials</v>
      </c>
      <c r="D58" t="s">
        <v>584</v>
      </c>
    </row>
    <row r="59" spans="1:4" x14ac:dyDescent="0.2">
      <c r="A59" t="str">
        <f>HYPERLINK("https://easymusicnotes.com/many-pdf", "https://easymusicnotes.com/many-pdf")</f>
        <v>https://easymusicnotes.com/many-pdf</v>
      </c>
      <c r="B59" t="s">
        <v>5</v>
      </c>
      <c r="C59" t="str">
        <f t="shared" si="5"/>
        <v>Materials</v>
      </c>
      <c r="D59" t="s">
        <v>584</v>
      </c>
    </row>
    <row r="60" spans="1:4" x14ac:dyDescent="0.2">
      <c r="A60" t="str">
        <f>HYPERLINK("https://yourknow.com/uploads", "https://yourknow.com/uploads")</f>
        <v>https://yourknow.com/uploads</v>
      </c>
      <c r="B60" t="s">
        <v>5</v>
      </c>
      <c r="C60" t="str">
        <f t="shared" si="5"/>
        <v>Materials</v>
      </c>
      <c r="D60" t="s">
        <v>584</v>
      </c>
    </row>
    <row r="61" spans="1:4" x14ac:dyDescent="0.2">
      <c r="A61" t="str">
        <f>HYPERLINK("https://pdp.sjsu.edu/faculty/wso", "https://pdp.sjsu.edu/faculty/wso")</f>
        <v>https://pdp.sjsu.edu/faculty/wso</v>
      </c>
      <c r="B61" t="s">
        <v>5</v>
      </c>
      <c r="C61" t="str">
        <f t="shared" si="5"/>
        <v>Materials</v>
      </c>
      <c r="D61" t="s">
        <v>584</v>
      </c>
    </row>
    <row r="62" spans="1:4" x14ac:dyDescent="0.2">
      <c r="A62" t="str">
        <f>HYPERLINK("https://pdp.sjsu.edu/faculty/scharberg", "https://pdp.sjsu.edu/faculty/scharberg")</f>
        <v>https://pdp.sjsu.edu/faculty/scharberg</v>
      </c>
      <c r="B62" t="s">
        <v>5</v>
      </c>
      <c r="C62" t="str">
        <f t="shared" si="5"/>
        <v>Materials</v>
      </c>
      <c r="D62" t="s">
        <v>584</v>
      </c>
    </row>
    <row r="63" spans="1:4" x14ac:dyDescent="0.2">
      <c r="A63" t="str">
        <f>HYPERLINK("https://pdp.sjsu.edu/faculty/bmou", "https://pdp.sjsu.edu/faculty/bmou")</f>
        <v>https://pdp.sjsu.edu/faculty/bmou</v>
      </c>
      <c r="B63" t="s">
        <v>5</v>
      </c>
      <c r="C63" t="str">
        <f t="shared" si="5"/>
        <v>Materials</v>
      </c>
      <c r="D63" t="s">
        <v>584</v>
      </c>
    </row>
    <row r="64" spans="1:4" x14ac:dyDescent="0.2">
      <c r="A64" t="str">
        <f>HYPERLINK("https://pdp.sjsu.edu/faculty/marachi", "https://pdp.sjsu.edu/faculty/marachi")</f>
        <v>https://pdp.sjsu.edu/faculty/marachi</v>
      </c>
      <c r="B64" t="s">
        <v>5</v>
      </c>
      <c r="C64" t="str">
        <f t="shared" si="5"/>
        <v>Materials</v>
      </c>
      <c r="D64" t="s">
        <v>584</v>
      </c>
    </row>
    <row r="65" spans="1:4" x14ac:dyDescent="0.2">
      <c r="A65" t="str">
        <f>HYPERLINK("https://pdp.sjsu.edu/faculty/langdon", "https://pdp.sjsu.edu/faculty/langdon")</f>
        <v>https://pdp.sjsu.edu/faculty/langdon</v>
      </c>
      <c r="B65" t="s">
        <v>5</v>
      </c>
      <c r="C65" t="str">
        <f t="shared" si="5"/>
        <v>Materials</v>
      </c>
      <c r="D65" t="s">
        <v>584</v>
      </c>
    </row>
    <row r="66" spans="1:4" x14ac:dyDescent="0.2">
      <c r="A66" t="str">
        <f>HYPERLINK("https://pdp.sjsu.edu/faculty/rkeady", "https://pdp.sjsu.edu/faculty/rkeady")</f>
        <v>https://pdp.sjsu.edu/faculty/rkeady</v>
      </c>
      <c r="B66" t="s">
        <v>5</v>
      </c>
      <c r="C66" t="str">
        <f t="shared" si="5"/>
        <v>Materials</v>
      </c>
      <c r="D66" t="s">
        <v>584</v>
      </c>
    </row>
    <row r="67" spans="1:4" x14ac:dyDescent="0.2">
      <c r="A67" t="str">
        <f>HYPERLINK("https://pdp.sjsu.edu/faculty/harris", "https://pdp.sjsu.edu/faculty/harris")</f>
        <v>https://pdp.sjsu.edu/faculty/harris</v>
      </c>
      <c r="B67" t="s">
        <v>5</v>
      </c>
      <c r="C67" t="str">
        <f t="shared" si="5"/>
        <v>Materials</v>
      </c>
      <c r="D67" t="s">
        <v>584</v>
      </c>
    </row>
    <row r="68" spans="1:4" x14ac:dyDescent="0.2">
      <c r="A68" t="str">
        <f>HYPERLINK("https://pdp.sjsu.edu/faculty/hagemann", "https://pdp.sjsu.edu/faculty/hagemann")</f>
        <v>https://pdp.sjsu.edu/faculty/hagemann</v>
      </c>
      <c r="B68" t="s">
        <v>5</v>
      </c>
      <c r="C68" t="str">
        <f t="shared" si="5"/>
        <v>Materials</v>
      </c>
      <c r="D68" t="s">
        <v>584</v>
      </c>
    </row>
    <row r="69" spans="1:4" x14ac:dyDescent="0.2">
      <c r="A69" t="str">
        <f>HYPERLINK("https://pdp.sjsu.edu/faculty/gerstman", "https://pdp.sjsu.edu/faculty/gerstman")</f>
        <v>https://pdp.sjsu.edu/faculty/gerstman</v>
      </c>
      <c r="B69" t="s">
        <v>5</v>
      </c>
      <c r="C69" t="str">
        <f t="shared" si="5"/>
        <v>Materials</v>
      </c>
      <c r="D69" t="s">
        <v>584</v>
      </c>
    </row>
    <row r="70" spans="1:4" x14ac:dyDescent="0.2">
      <c r="A70" t="str">
        <f>HYPERLINK("https://pdp.sjsu.edu/faculty/gallardo", "https://pdp.sjsu.edu/faculty/gallardo")</f>
        <v>https://pdp.sjsu.edu/faculty/gallardo</v>
      </c>
      <c r="B70" t="s">
        <v>5</v>
      </c>
      <c r="C70" t="str">
        <f t="shared" si="5"/>
        <v>Materials</v>
      </c>
      <c r="D70" t="s">
        <v>584</v>
      </c>
    </row>
    <row r="71" spans="1:4" x14ac:dyDescent="0.2">
      <c r="A71" t="str">
        <f>HYPERLINK("https://pdp.sjsu.edu/faculty/mary.warner", "https://pdp.sjsu.edu/faculty/mary.warner")</f>
        <v>https://pdp.sjsu.edu/faculty/mary.warner</v>
      </c>
      <c r="B71" t="s">
        <v>5</v>
      </c>
      <c r="C71" t="str">
        <f t="shared" si="5"/>
        <v>Materials</v>
      </c>
      <c r="D71" t="s">
        <v>584</v>
      </c>
    </row>
    <row r="72" spans="1:4" x14ac:dyDescent="0.2">
      <c r="A72" t="str">
        <f>HYPERLINK("https://waverunners.yamaha-owners-manuals.com/om", "https://waverunners.yamaha-owners-manuals.com/om")</f>
        <v>https://waverunners.yamaha-owners-manuals.com/om</v>
      </c>
      <c r="B72" t="s">
        <v>5</v>
      </c>
      <c r="C72" t="str">
        <f>HYPERLINK("https://www.reddit.com/r/opendirectories/comments/nk3op6", "Need a manual for your yamaha jet ski/waverunner?")</f>
        <v>Need a manual for your yamaha jet ski/waverunner?</v>
      </c>
      <c r="D72" t="s">
        <v>380</v>
      </c>
    </row>
    <row r="73" spans="1:4" x14ac:dyDescent="0.2">
      <c r="A73" t="str">
        <f>HYPERLINK("http://giove.isti.cnr.it/demo", "http://giove.isti.cnr.it/demo")</f>
        <v>http://giove.isti.cnr.it/demo</v>
      </c>
      <c r="B73" t="s">
        <v>5</v>
      </c>
      <c r="C73" t="str">
        <f>HYPERLINK("https://www.reddit.com/r/opendirectories/comments/mz0y6e", "Seems like a wildcard, web backend and a lot of book PDFs")</f>
        <v>Seems like a wildcard, web backend and a lot of book PDFs</v>
      </c>
      <c r="D73" t="s">
        <v>464</v>
      </c>
    </row>
    <row r="74" spans="1:4" x14ac:dyDescent="0.2">
      <c r="A74" t="str">
        <f>HYPERLINK("http://www.cadosh.com", "http://www.cadosh.com")</f>
        <v>http://www.cadosh.com</v>
      </c>
      <c r="B74" t="s">
        <v>5</v>
      </c>
      <c r="C74" t="str">
        <f>HYPERLINK("https://www.reddit.com/r/opendirectories/comments/jgk8m4", "SOFTWARE for WIN/ANDROID and some Arab docs")</f>
        <v>SOFTWARE for WIN/ANDROID and some Arab docs</v>
      </c>
      <c r="D74" t="s">
        <v>585</v>
      </c>
    </row>
    <row r="75" spans="1:4" x14ac:dyDescent="0.2">
      <c r="A75" t="str">
        <f>HYPERLINK("https://www.hueylong.com/docs", "https://www.hueylong.com/docs")</f>
        <v>https://www.hueylong.com/docs</v>
      </c>
      <c r="B75" t="s">
        <v>5</v>
      </c>
      <c r="C75" t="str">
        <f>HYPERLINK("https://www.reddit.com/r/opendirectories/comments/mv73v0", "Collection of media related to Louisiana politician Huey Long")</f>
        <v>Collection of media related to Louisiana politician Huey Long</v>
      </c>
      <c r="D75" t="s">
        <v>465</v>
      </c>
    </row>
    <row r="76" spans="1:4" x14ac:dyDescent="0.2">
      <c r="A76" t="str">
        <f>HYPERLINK("https://www.hueylong.com/images", "https://www.hueylong.com/images")</f>
        <v>https://www.hueylong.com/images</v>
      </c>
      <c r="B76" t="s">
        <v>5</v>
      </c>
      <c r="C76" t="str">
        <f>HYPERLINK("https://www.reddit.com/r/opendirectories/comments/mv73v0", "Collection of media related to Louisiana politician Huey Long")</f>
        <v>Collection of media related to Louisiana politician Huey Long</v>
      </c>
      <c r="D76" t="s">
        <v>465</v>
      </c>
    </row>
    <row r="77" spans="1:4" x14ac:dyDescent="0.2">
      <c r="A77" t="str">
        <f>HYPERLINK("https://www.hueylong.com/audio", "https://www.hueylong.com/audio")</f>
        <v>https://www.hueylong.com/audio</v>
      </c>
      <c r="B77" t="s">
        <v>5</v>
      </c>
      <c r="C77" t="str">
        <f>HYPERLINK("https://www.reddit.com/r/opendirectories/comments/mv73v0", "Collection of media related to Louisiana politician Huey Long")</f>
        <v>Collection of media related to Louisiana politician Huey Long</v>
      </c>
      <c r="D77" t="s">
        <v>465</v>
      </c>
    </row>
    <row r="78" spans="1:4" x14ac:dyDescent="0.2">
      <c r="A78" t="str">
        <f>HYPERLINK("https://aomci.org/wp-content/uploads", "https://aomci.org/wp-content/uploads")</f>
        <v>https://aomci.org/wp-content/uploads</v>
      </c>
      <c r="B78" t="s">
        <v>5</v>
      </c>
      <c r="C78" t="str">
        <f>HYPERLINK("https://www.reddit.com/r/opendirectories/comments/mrb2vh", "Images of Outboard Motors/Vintage Car Ads")</f>
        <v>Images of Outboard Motors/Vintage Car Ads</v>
      </c>
      <c r="D78" t="s">
        <v>586</v>
      </c>
    </row>
    <row r="79" spans="1:4" x14ac:dyDescent="0.2">
      <c r="A79" t="str">
        <f>HYPERLINK("http://archives.1wise.es", "http://archives.1wise.es")</f>
        <v>http://archives.1wise.es</v>
      </c>
      <c r="B79" t="s">
        <v>5</v>
      </c>
      <c r="C79" t="str">
        <f>HYPERLINK("https://www.reddit.com/r/opendirectories/comments/mks6a3", "Some web wonderings I did today")</f>
        <v>Some web wonderings I did today</v>
      </c>
      <c r="D79" t="s">
        <v>274</v>
      </c>
    </row>
    <row r="80" spans="1:4" x14ac:dyDescent="0.2">
      <c r="A80" t="str">
        <f>HYPERLINK("http://69.164.208.4/files", "http://69.164.208.4/files")</f>
        <v>http://69.164.208.4/files</v>
      </c>
      <c r="B80" t="s">
        <v>5</v>
      </c>
      <c r="C80" t="str">
        <f>HYPERLINK("https://www.reddit.com/r/opendirectories/comments/mks6a3", "Some web wonderings I did today")</f>
        <v>Some web wonderings I did today</v>
      </c>
      <c r="D80" t="s">
        <v>274</v>
      </c>
    </row>
    <row r="81" spans="1:4" x14ac:dyDescent="0.2">
      <c r="A81" t="str">
        <f>HYPERLINK("http://pauladaunt.com/books", "http://pauladaunt.com/books")</f>
        <v>http://pauladaunt.com/books</v>
      </c>
      <c r="B81" t="s">
        <v>5</v>
      </c>
      <c r="C81" t="str">
        <f>HYPERLINK("https://www.reddit.com/r/opendirectories/comments/3dn84u", "Random Books (.txt and .pdf)")</f>
        <v>Random Books (.txt and .pdf)</v>
      </c>
      <c r="D81" t="s">
        <v>275</v>
      </c>
    </row>
    <row r="82" spans="1:4" x14ac:dyDescent="0.2">
      <c r="A82" t="str">
        <f>HYPERLINK("http://www.chiark.greenend.org.uk", "http://www.chiark.greenend.org.uk")</f>
        <v>http://www.chiark.greenend.org.uk</v>
      </c>
      <c r="B82" t="s">
        <v>5</v>
      </c>
      <c r="C82" t="str">
        <f t="shared" ref="C82:C89" si="6">HYPERLINK("https://www.reddit.com/r/opendirectories/comments/mks6a3", "Some web wonderings I did today")</f>
        <v>Some web wonderings I did today</v>
      </c>
      <c r="D82" t="s">
        <v>274</v>
      </c>
    </row>
    <row r="83" spans="1:4" x14ac:dyDescent="0.2">
      <c r="A83" t="str">
        <f>HYPERLINK("http://www.st-marks.kent.sch.uk/wp-content/uploads", "http://www.st-marks.kent.sch.uk/wp-content/uploads")</f>
        <v>http://www.st-marks.kent.sch.uk/wp-content/uploads</v>
      </c>
      <c r="B83" t="s">
        <v>5</v>
      </c>
      <c r="C83" t="str">
        <f t="shared" si="6"/>
        <v>Some web wonderings I did today</v>
      </c>
      <c r="D83" t="s">
        <v>274</v>
      </c>
    </row>
    <row r="84" spans="1:4" x14ac:dyDescent="0.2">
      <c r="A84" t="str">
        <f>HYPERLINK("http://www.blackkat.net/tintin", "http://www.blackkat.net/tintin")</f>
        <v>http://www.blackkat.net/tintin</v>
      </c>
      <c r="B84" t="s">
        <v>5</v>
      </c>
      <c r="C84" t="str">
        <f t="shared" si="6"/>
        <v>Some web wonderings I did today</v>
      </c>
      <c r="D84" t="s">
        <v>274</v>
      </c>
    </row>
    <row r="85" spans="1:4" x14ac:dyDescent="0.2">
      <c r="A85" t="str">
        <f>HYPERLINK("https://eref.se", "https://eref.se")</f>
        <v>https://eref.se</v>
      </c>
      <c r="B85" t="s">
        <v>5</v>
      </c>
      <c r="C85" t="str">
        <f t="shared" si="6"/>
        <v>Some web wonderings I did today</v>
      </c>
      <c r="D85" t="s">
        <v>274</v>
      </c>
    </row>
    <row r="86" spans="1:4" x14ac:dyDescent="0.2">
      <c r="A86" t="str">
        <f>HYPERLINK("http://154.68.126.6/library", "http://154.68.126.6/library")</f>
        <v>http://154.68.126.6/library</v>
      </c>
      <c r="B86" t="s">
        <v>5</v>
      </c>
      <c r="C86" t="str">
        <f t="shared" si="6"/>
        <v>Some web wonderings I did today</v>
      </c>
      <c r="D86" t="s">
        <v>274</v>
      </c>
    </row>
    <row r="87" spans="1:4" x14ac:dyDescent="0.2">
      <c r="A87" t="str">
        <f>HYPERLINK("http://home.iowaandersons.com", "http://home.iowaandersons.com")</f>
        <v>http://home.iowaandersons.com</v>
      </c>
      <c r="B87" t="s">
        <v>5</v>
      </c>
      <c r="C87" t="str">
        <f t="shared" si="6"/>
        <v>Some web wonderings I did today</v>
      </c>
      <c r="D87" t="s">
        <v>274</v>
      </c>
    </row>
    <row r="88" spans="1:4" x14ac:dyDescent="0.2">
      <c r="A88" t="str">
        <f>HYPERLINK("https://gennuso.iiens.net/lectures/Le%20livre%20d%27or%20de%20la%20SF", "https://gennuso.iiens.net/lectures/Le%20livre%20d%27or%20de%20la%20SF")</f>
        <v>https://gennuso.iiens.net/lectures/Le%20livre%20d%27or%20de%20la%20SF</v>
      </c>
      <c r="B88" t="s">
        <v>5</v>
      </c>
      <c r="C88" t="str">
        <f t="shared" si="6"/>
        <v>Some web wonderings I did today</v>
      </c>
      <c r="D88" t="s">
        <v>274</v>
      </c>
    </row>
    <row r="89" spans="1:4" x14ac:dyDescent="0.2">
      <c r="A89" t="str">
        <f>HYPERLINK("http://www.indiepornrevolution.com/indie-porn/wp-content/uploads", "http://www.indiepornrevolution.com/indie-porn/wp-content/uploads")</f>
        <v>http://www.indiepornrevolution.com/indie-porn/wp-content/uploads</v>
      </c>
      <c r="B89" t="s">
        <v>5</v>
      </c>
      <c r="C89" t="str">
        <f t="shared" si="6"/>
        <v>Some web wonderings I did today</v>
      </c>
      <c r="D89" t="s">
        <v>274</v>
      </c>
    </row>
    <row r="90" spans="1:4" x14ac:dyDescent="0.2">
      <c r="A90" t="str">
        <f>HYPERLINK("https://www.sindark.com/genre", "https://www.sindark.com/genre")</f>
        <v>https://www.sindark.com/genre</v>
      </c>
      <c r="B90" t="s">
        <v>5</v>
      </c>
      <c r="C90" t="str">
        <f t="shared" ref="C90:C97" si="7">HYPERLINK("https://www.reddit.com/r/opendirectories/comments/mk2auw", "So Some Random...")</f>
        <v>So Some Random...</v>
      </c>
      <c r="D90" t="s">
        <v>387</v>
      </c>
    </row>
    <row r="91" spans="1:4" x14ac:dyDescent="0.2">
      <c r="A91" t="str">
        <f>HYPERLINK("http://thinkingxxx.com/content", "http://thinkingxxx.com/content")</f>
        <v>http://thinkingxxx.com/content</v>
      </c>
      <c r="B91" t="s">
        <v>5</v>
      </c>
      <c r="C91" t="str">
        <f t="shared" si="7"/>
        <v>So Some Random...</v>
      </c>
      <c r="D91" t="s">
        <v>387</v>
      </c>
    </row>
    <row r="92" spans="1:4" x14ac:dyDescent="0.2">
      <c r="A92" t="str">
        <f>HYPERLINK("https://www.chromalytic.com.au/pdf2", "https://www.chromalytic.com.au/pdf2")</f>
        <v>https://www.chromalytic.com.au/pdf2</v>
      </c>
      <c r="B92" t="s">
        <v>5</v>
      </c>
      <c r="C92" t="str">
        <f t="shared" si="7"/>
        <v>So Some Random...</v>
      </c>
      <c r="D92" t="s">
        <v>387</v>
      </c>
    </row>
    <row r="93" spans="1:4" x14ac:dyDescent="0.2">
      <c r="A93" t="str">
        <f>HYPERLINK("https://mirror.explodie.org", "https://mirror.explodie.org")</f>
        <v>https://mirror.explodie.org</v>
      </c>
      <c r="B93" t="s">
        <v>5</v>
      </c>
      <c r="C93" t="str">
        <f t="shared" si="7"/>
        <v>So Some Random...</v>
      </c>
      <c r="D93" t="s">
        <v>387</v>
      </c>
    </row>
    <row r="94" spans="1:4" x14ac:dyDescent="0.2">
      <c r="A94" t="str">
        <f>HYPERLINK("https://www.documents.clientearth.org/wp-content/uploads", "https://www.documents.clientearth.org/wp-content/uploads")</f>
        <v>https://www.documents.clientearth.org/wp-content/uploads</v>
      </c>
      <c r="B94" t="s">
        <v>5</v>
      </c>
      <c r="C94" t="str">
        <f t="shared" si="7"/>
        <v>So Some Random...</v>
      </c>
      <c r="D94" t="s">
        <v>387</v>
      </c>
    </row>
    <row r="95" spans="1:4" x14ac:dyDescent="0.2">
      <c r="A95" t="str">
        <f>HYPERLINK("http://faculty.bennington.edu", "http://faculty.bennington.edu")</f>
        <v>http://faculty.bennington.edu</v>
      </c>
      <c r="B95" t="s">
        <v>5</v>
      </c>
      <c r="C95" t="str">
        <f t="shared" si="7"/>
        <v>So Some Random...</v>
      </c>
      <c r="D95" t="s">
        <v>387</v>
      </c>
    </row>
    <row r="96" spans="1:4" x14ac:dyDescent="0.2">
      <c r="A96" t="str">
        <f>HYPERLINK("https://www.wmm.com/storage", "https://www.wmm.com/storage")</f>
        <v>https://www.wmm.com/storage</v>
      </c>
      <c r="B96" t="s">
        <v>5</v>
      </c>
      <c r="C96" t="str">
        <f t="shared" si="7"/>
        <v>So Some Random...</v>
      </c>
      <c r="D96" t="s">
        <v>387</v>
      </c>
    </row>
    <row r="97" spans="1:5" x14ac:dyDescent="0.2">
      <c r="A97" t="str">
        <f>HYPERLINK("https://www.fuckyeahfitgirls.com/wp-content/uploads", "https://www.fuckyeahfitgirls.com/wp-content/uploads")</f>
        <v>https://www.fuckyeahfitgirls.com/wp-content/uploads</v>
      </c>
      <c r="B97" t="s">
        <v>5</v>
      </c>
      <c r="C97" t="str">
        <f t="shared" si="7"/>
        <v>So Some Random...</v>
      </c>
      <c r="D97" t="s">
        <v>387</v>
      </c>
    </row>
    <row r="98" spans="1:5" x14ac:dyDescent="0.2">
      <c r="A98" t="str">
        <f>HYPERLINK("http://www.jgmaas.com", "http://www.jgmaas.com")</f>
        <v>http://www.jgmaas.com</v>
      </c>
      <c r="B98" t="s">
        <v>5</v>
      </c>
      <c r="C98" t="str">
        <f>HYPERLINK("https://www.reddit.com/r/opendirectories/comments/mhnkbw", "geotechnical/petrochemical journal articles")</f>
        <v>geotechnical/petrochemical journal articles</v>
      </c>
      <c r="D98" t="s">
        <v>40</v>
      </c>
    </row>
    <row r="99" spans="1:5" x14ac:dyDescent="0.2">
      <c r="A99" t="str">
        <f>HYPERLINK("http://webdata.psru.ac.th/~pisut/tims%20file", "http://webdata.psru.ac.th/~pisut/tims%20file")</f>
        <v>http://webdata.psru.ac.th/~pisut/tims%20file</v>
      </c>
      <c r="B99" t="s">
        <v>5</v>
      </c>
      <c r="D99" t="s">
        <v>383</v>
      </c>
    </row>
    <row r="100" spans="1:5" x14ac:dyDescent="0.2">
      <c r="A100" t="str">
        <f>HYPERLINK("https://www.grpl.org/uploads", "https://www.grpl.org/uploads")</f>
        <v>https://www.grpl.org/uploads</v>
      </c>
      <c r="B100" t="s">
        <v>5</v>
      </c>
      <c r="C100" t="str">
        <f>HYPERLINK("https://www.reddit.com/r/opendirectories/comments/mf6pm2", "Pdfs")</f>
        <v>Pdfs</v>
      </c>
      <c r="D100" t="s">
        <v>42</v>
      </c>
    </row>
    <row r="101" spans="1:5" x14ac:dyDescent="0.2">
      <c r="A101" t="str">
        <f>HYPERLINK("https://www.rogerhodgson.com/documents", "https://www.rogerhodgson.com/documents")</f>
        <v>https://www.rogerhodgson.com/documents</v>
      </c>
      <c r="B101" t="s">
        <v>5</v>
      </c>
      <c r="C101" t="str">
        <f>HYPERLINK("https://www.reddit.com/r/opendirectories/comments/mezs8v", "Supertramp Stockpile")</f>
        <v>Supertramp Stockpile</v>
      </c>
      <c r="D101" t="s">
        <v>42</v>
      </c>
    </row>
    <row r="102" spans="1:5" x14ac:dyDescent="0.2">
      <c r="A102" t="str">
        <f>HYPERLINK("https://docs.huihoo.com/rsaconference", "https://docs.huihoo.com/rsaconference")</f>
        <v>https://docs.huihoo.com/rsaconference</v>
      </c>
      <c r="B102" t="s">
        <v>5</v>
      </c>
      <c r="C102" t="str">
        <f>HYPERLINK("https://www.reddit.com/r/opendirectories/comments/m6ki7z", "security conference pdf's (older)")</f>
        <v>security conference pdf's (older)</v>
      </c>
      <c r="D102" t="s">
        <v>43</v>
      </c>
    </row>
    <row r="103" spans="1:5" x14ac:dyDescent="0.2">
      <c r="A103" t="str">
        <f>HYPERLINK("http://idriders.com/temp", "http://idriders.com/temp")</f>
        <v>http://idriders.com/temp</v>
      </c>
      <c r="B103" t="s">
        <v>5</v>
      </c>
      <c r="C103" t="str">
        <f>HYPERLINK("https://www.reddit.com/r/opendirectories/comments/364gut", "OK...Gotta Little Time...More Porn and Stuff")</f>
        <v>OK...Gotta Little Time...More Porn and Stuff</v>
      </c>
      <c r="D103" t="s">
        <v>587</v>
      </c>
    </row>
    <row r="104" spans="1:5" x14ac:dyDescent="0.2">
      <c r="A104" t="str">
        <f>HYPERLINK("http://jtoomim.org/brain-training", "http://jtoomim.org/brain-training")</f>
        <v>http://jtoomim.org/brain-training</v>
      </c>
      <c r="B104" t="s">
        <v>5</v>
      </c>
      <c r="C104" t="str">
        <f>HYPERLINK("https://www.reddit.com/r/opendirectories/comments/m6ds0y", "Books on the brain..lots of-off them...")</f>
        <v>Books on the brain..lots of-off them...</v>
      </c>
      <c r="D104" t="s">
        <v>43</v>
      </c>
    </row>
    <row r="105" spans="1:5" x14ac:dyDescent="0.2">
      <c r="A105" t="str">
        <f>HYPERLINK("http://www.vancouver-rhodes.com", "http://www.vancouver-rhodes.com")</f>
        <v>http://www.vancouver-rhodes.com</v>
      </c>
      <c r="B105" t="s">
        <v>5</v>
      </c>
      <c r="C105" t="str">
        <f>HYPERLINK("https://www.reddit.com/r/opendirectories/comments/m4vums", "Comics...")</f>
        <v>Comics...</v>
      </c>
      <c r="D105" t="s">
        <v>45</v>
      </c>
    </row>
    <row r="106" spans="1:5" x14ac:dyDescent="0.2">
      <c r="A106" t="str">
        <f>HYPERLINK("https://www.enryo.ro/carti", "https://www.enryo.ro/carti")</f>
        <v>https://www.enryo.ro/carti</v>
      </c>
      <c r="B106" t="s">
        <v>5</v>
      </c>
      <c r="C106" t="str">
        <f>HYPERLINK("https://www.reddit.com/r/opendirectories/comments/m3plc0", "Origami")</f>
        <v>Origami</v>
      </c>
      <c r="D106" t="s">
        <v>282</v>
      </c>
      <c r="E106" t="s">
        <v>63</v>
      </c>
    </row>
    <row r="107" spans="1:5" x14ac:dyDescent="0.2">
      <c r="A107" t="str">
        <f>HYPERLINK("http://playwap.mobi/dl/load", "http://playwap.mobi/dl/load")</f>
        <v>http://playwap.mobi/dl/load</v>
      </c>
      <c r="B107" t="s">
        <v>5</v>
      </c>
      <c r="C107" t="str">
        <f>HYPERLINK("https://www.reddit.com/r/opendirectories/comments/m3itag", "Music Directory..")</f>
        <v>Music Directory..</v>
      </c>
      <c r="D107" t="s">
        <v>282</v>
      </c>
    </row>
    <row r="108" spans="1:5" x14ac:dyDescent="0.2">
      <c r="A108" t="str">
        <f>HYPERLINK("https://arcarc.xmission.com", "https://arcarc.xmission.com")</f>
        <v>https://arcarc.xmission.com</v>
      </c>
      <c r="B108" t="s">
        <v>5</v>
      </c>
      <c r="C108" t="str">
        <f>HYPERLINK("https://www.reddit.com/r/opendirectories/comments/m3ihba", "Basic Electronics...")</f>
        <v>Basic Electronics...</v>
      </c>
      <c r="D108" t="s">
        <v>282</v>
      </c>
    </row>
    <row r="109" spans="1:5" x14ac:dyDescent="0.2">
      <c r="A109" t="str">
        <f>HYPERLINK("http://www.apo33.org/pub", "http://www.apo33.org/pub")</f>
        <v>http://www.apo33.org/pub</v>
      </c>
      <c r="B109" t="s">
        <v>5</v>
      </c>
      <c r="C109" t="str">
        <f>HYPERLINK("https://www.reddit.com/r/opendirectories/comments/m3ihba", "Basic Electronics...")</f>
        <v>Basic Electronics...</v>
      </c>
      <c r="D109" t="s">
        <v>282</v>
      </c>
    </row>
    <row r="110" spans="1:5" x14ac:dyDescent="0.2">
      <c r="A110" t="str">
        <f>HYPERLINK("http://www.kiczek.com/temp", "http://www.kiczek.com/temp")</f>
        <v>http://www.kiczek.com/temp</v>
      </c>
      <c r="B110" t="s">
        <v>5</v>
      </c>
      <c r="C110" t="str">
        <f>HYPERLINK("https://www.reddit.com/r/opendirectories/comments/ftk1f6", "Zipped Books mostly epub")</f>
        <v>Zipped Books mostly epub</v>
      </c>
      <c r="D110" t="s">
        <v>588</v>
      </c>
    </row>
    <row r="111" spans="1:5" x14ac:dyDescent="0.2">
      <c r="A111" t="str">
        <f>HYPERLINK("https://www.rhinologyjournal.com/Documents", "https://www.rhinologyjournal.com/Documents")</f>
        <v>https://www.rhinologyjournal.com/Documents</v>
      </c>
      <c r="B111" t="s">
        <v>5</v>
      </c>
      <c r="C111" t="str">
        <f>HYPERLINK("https://www.reddit.com/r/opendirectories/comments/m1796x", "Rhinology papers")</f>
        <v>Rhinology papers</v>
      </c>
      <c r="D111" t="s">
        <v>520</v>
      </c>
    </row>
    <row r="112" spans="1:5" x14ac:dyDescent="0.2">
      <c r="A112" t="str">
        <f>HYPERLINK("http://users.econ.umn.edu/~erm/data", "http://users.econ.umn.edu/~erm/data")</f>
        <v>http://users.econ.umn.edu/~erm/data</v>
      </c>
      <c r="B112" t="s">
        <v>5</v>
      </c>
      <c r="C112" t="str">
        <f>HYPERLINK("https://www.reddit.com/r/opendirectories/comments/lxcpm0", "research papers on economics")</f>
        <v>research papers on economics</v>
      </c>
      <c r="D112" t="s">
        <v>468</v>
      </c>
    </row>
    <row r="113" spans="1:5" x14ac:dyDescent="0.2">
      <c r="A113" t="str">
        <f>HYPERLINK("http://159.69.132.234", "http://159.69.132.234")</f>
        <v>http://159.69.132.234</v>
      </c>
      <c r="B113" t="s">
        <v>5</v>
      </c>
      <c r="C113" t="str">
        <f t="shared" ref="C113:C120" si="8">HYPERLINK("https://www.reddit.com/r/opendirectories/comments/lm56lp", "A bit of everything: vids, docs, fonts, podcasts... on various topics mainly in English")</f>
        <v>A bit of everything: vids, docs, fonts, podcasts... on various topics mainly in English</v>
      </c>
      <c r="D113" t="s">
        <v>288</v>
      </c>
      <c r="E113" t="s">
        <v>14</v>
      </c>
    </row>
    <row r="114" spans="1:5" x14ac:dyDescent="0.2">
      <c r="A114" t="str">
        <f>HYPERLINK("https://biorob2.epfl.ch/users/eckert", "https://biorob2.epfl.ch/users/eckert")</f>
        <v>https://biorob2.epfl.ch/users/eckert</v>
      </c>
      <c r="B114" t="s">
        <v>5</v>
      </c>
      <c r="C114" t="str">
        <f t="shared" si="8"/>
        <v>A bit of everything: vids, docs, fonts, podcasts... on various topics mainly in English</v>
      </c>
      <c r="D114" t="s">
        <v>288</v>
      </c>
      <c r="E114" t="s">
        <v>14</v>
      </c>
    </row>
    <row r="115" spans="1:5" x14ac:dyDescent="0.2">
      <c r="A115" t="str">
        <f>HYPERLINK("https://207.179.200.70", "https://207.179.200.70")</f>
        <v>https://207.179.200.70</v>
      </c>
      <c r="B115" t="s">
        <v>5</v>
      </c>
      <c r="C115" t="str">
        <f t="shared" si="8"/>
        <v>A bit of everything: vids, docs, fonts, podcasts... on various topics mainly in English</v>
      </c>
      <c r="D115" t="s">
        <v>288</v>
      </c>
      <c r="E115" t="s">
        <v>14</v>
      </c>
    </row>
    <row r="116" spans="1:5" x14ac:dyDescent="0.2">
      <c r="A116" t="str">
        <f>HYPERLINK("http://162.212.178.138:8080", "http://162.212.178.138:8080")</f>
        <v>http://162.212.178.138:8080</v>
      </c>
      <c r="B116" t="s">
        <v>5</v>
      </c>
      <c r="C116" t="str">
        <f t="shared" si="8"/>
        <v>A bit of everything: vids, docs, fonts, podcasts... on various topics mainly in English</v>
      </c>
      <c r="D116" t="s">
        <v>288</v>
      </c>
      <c r="E116" t="s">
        <v>14</v>
      </c>
    </row>
    <row r="117" spans="1:5" x14ac:dyDescent="0.2">
      <c r="A117" t="str">
        <f>HYPERLINK("https://213.138.109.86", "https://213.138.109.86")</f>
        <v>https://213.138.109.86</v>
      </c>
      <c r="B117" t="s">
        <v>5</v>
      </c>
      <c r="C117" t="str">
        <f t="shared" si="8"/>
        <v>A bit of everything: vids, docs, fonts, podcasts... on various topics mainly in English</v>
      </c>
      <c r="D117" t="s">
        <v>288</v>
      </c>
      <c r="E117" t="s">
        <v>14</v>
      </c>
    </row>
    <row r="118" spans="1:5" x14ac:dyDescent="0.2">
      <c r="A118" t="str">
        <f>HYPERLINK("http://tug.ctan.org", "http://tug.ctan.org")</f>
        <v>http://tug.ctan.org</v>
      </c>
      <c r="B118" t="s">
        <v>5</v>
      </c>
      <c r="C118" t="str">
        <f t="shared" si="8"/>
        <v>A bit of everything: vids, docs, fonts, podcasts... on various topics mainly in English</v>
      </c>
      <c r="D118" t="s">
        <v>288</v>
      </c>
      <c r="E118" t="s">
        <v>14</v>
      </c>
    </row>
    <row r="119" spans="1:5" x14ac:dyDescent="0.2">
      <c r="A119" t="str">
        <f>HYPERLINK("http://winnow.veeshanvault.org/files", "http://winnow.veeshanvault.org/files")</f>
        <v>http://winnow.veeshanvault.org/files</v>
      </c>
      <c r="B119" t="s">
        <v>5</v>
      </c>
      <c r="C119" t="str">
        <f t="shared" si="8"/>
        <v>A bit of everything: vids, docs, fonts, podcasts... on various topics mainly in English</v>
      </c>
      <c r="D119" t="s">
        <v>288</v>
      </c>
      <c r="E119" t="s">
        <v>14</v>
      </c>
    </row>
    <row r="120" spans="1:5" x14ac:dyDescent="0.2">
      <c r="A120" t="str">
        <f>HYPERLINK("http://80.28.130.18:8081", "http://80.28.130.18:8081")</f>
        <v>http://80.28.130.18:8081</v>
      </c>
      <c r="B120" t="s">
        <v>5</v>
      </c>
      <c r="C120" t="str">
        <f t="shared" si="8"/>
        <v>A bit of everything: vids, docs, fonts, podcasts... on various topics mainly in English</v>
      </c>
      <c r="D120" t="s">
        <v>288</v>
      </c>
      <c r="E120" t="s">
        <v>14</v>
      </c>
    </row>
    <row r="121" spans="1:5" x14ac:dyDescent="0.2">
      <c r="A121" t="str">
        <f>HYPERLINK("https://fsi-languages.yojik.eu/archives", "https://fsi-languages.yojik.eu/archives")</f>
        <v>https://fsi-languages.yojik.eu/archives</v>
      </c>
      <c r="B121" t="s">
        <v>5</v>
      </c>
      <c r="C121" t="str">
        <f>HYPERLINK("https://www.reddit.com/r/opendirectories/comments/lik47p", "Books, MIDIs, language courses, and FLACs")</f>
        <v>Books, MIDIs, language courses, and FLACs</v>
      </c>
      <c r="D121" t="s">
        <v>290</v>
      </c>
    </row>
    <row r="122" spans="1:5" x14ac:dyDescent="0.2">
      <c r="A122" t="str">
        <f>HYPERLINK("https://www.live-goddess-club.com/upload", "https://www.live-goddess-club.com/upload")</f>
        <v>https://www.live-goddess-club.com/upload</v>
      </c>
      <c r="B122" t="s">
        <v>5</v>
      </c>
      <c r="C122" t="str">
        <f>HYPERLINK("https://www.reddit.com/r/opendirectories/comments/lhlis3", "[NSFW] pics and vids, mostly dom / bdsm, and a few documents as well")</f>
        <v>[NSFW] pics and vids, mostly dom / bdsm, and a few documents as well</v>
      </c>
      <c r="D122" t="s">
        <v>291</v>
      </c>
    </row>
    <row r="123" spans="1:5" x14ac:dyDescent="0.2">
      <c r="A123" t="str">
        <f>HYPERLINK("http://geertjalink.nl", "http://geertjalink.nl")</f>
        <v>http://geertjalink.nl</v>
      </c>
      <c r="B123" t="s">
        <v>5</v>
      </c>
      <c r="C123" t="str">
        <f>HYPERLINK("https://www.reddit.com/r/opendirectories/comments/lbqdyj", "Videos, Documents, Memes, various other files...")</f>
        <v>Videos, Documents, Memes, various other files...</v>
      </c>
      <c r="D123" t="s">
        <v>50</v>
      </c>
    </row>
    <row r="124" spans="1:5" x14ac:dyDescent="0.2">
      <c r="A124" t="str">
        <f>HYPERLINK("http://hcmaslov.d-real.sci-nnov.ru", "http://hcmaslov.d-real.sci-nnov.ru")</f>
        <v>http://hcmaslov.d-real.sci-nnov.ru</v>
      </c>
      <c r="B124" t="s">
        <v>5</v>
      </c>
      <c r="C124" t="str">
        <f>HYPERLINK("https://www.reddit.com/r/opendirectories/comments/6vw8h5", "Russian guy's public folder of mp3s, family photos, cat pictures, and documents")</f>
        <v>Russian guy's public folder of mp3s, family photos, cat pictures, and documents</v>
      </c>
      <c r="D124" t="s">
        <v>393</v>
      </c>
      <c r="E124" t="s">
        <v>156</v>
      </c>
    </row>
    <row r="125" spans="1:5" x14ac:dyDescent="0.2">
      <c r="A125" t="str">
        <f>HYPERLINK("https://www.theblackvault.com/documents", "https://www.theblackvault.com/documents")</f>
        <v>https://www.theblackvault.com/documents</v>
      </c>
      <c r="B125" t="s">
        <v>5</v>
      </c>
      <c r="C125" t="str">
        <f>HYPERLINK("https://www.reddit.com/r/opendirectories/comments/kxlb1b", "Black Vault Open Directory")</f>
        <v>Black Vault Open Directory</v>
      </c>
      <c r="D125" t="s">
        <v>589</v>
      </c>
    </row>
    <row r="126" spans="1:5" x14ac:dyDescent="0.2">
      <c r="A126" t="str">
        <f>HYPERLINK("https://csclub.uwaterloo.ca/~pbarfuss", "https://csclub.uwaterloo.ca/~pbarfuss")</f>
        <v>https://csclub.uwaterloo.ca/~pbarfuss</v>
      </c>
      <c r="B126" t="s">
        <v>5</v>
      </c>
      <c r="C126" t="str">
        <f>HYPERLINK("https://www.reddit.com/r/opendirectories/comments/kw0aeo", "A mix of random things like research papers, midi files, anime girls, and videos")</f>
        <v>A mix of random things like research papers, midi files, anime girls, and videos</v>
      </c>
      <c r="D126" t="s">
        <v>295</v>
      </c>
    </row>
    <row r="127" spans="1:5" x14ac:dyDescent="0.2">
      <c r="A127" t="str">
        <f>HYPERLINK("http://148.72.150.188", "http://148.72.150.188")</f>
        <v>http://148.72.150.188</v>
      </c>
      <c r="B127" t="s">
        <v>5</v>
      </c>
      <c r="C127" t="str">
        <f>HYPERLINK("https://www.reddit.com/r/opendirectories/comments/ksp6l3", "If random content is interesting for you")</f>
        <v>If random content is interesting for you</v>
      </c>
      <c r="D127" t="s">
        <v>521</v>
      </c>
    </row>
    <row r="128" spans="1:5" x14ac:dyDescent="0.2">
      <c r="A128" t="str">
        <f>HYPERLINK("https://theswissbay.ch/pdf", "https://theswissbay.ch/pdf")</f>
        <v>https://theswissbay.ch/pdf</v>
      </c>
      <c r="B128" t="s">
        <v>5</v>
      </c>
      <c r="C128" t="str">
        <f>HYPERLINK("https://www.reddit.com/r/opendirectories/comments/b19k5v", "Computer books")</f>
        <v>Computer books</v>
      </c>
      <c r="D128" t="s">
        <v>332</v>
      </c>
    </row>
    <row r="129" spans="1:5" x14ac:dyDescent="0.2">
      <c r="A129" t="str">
        <f>HYPERLINK("https://theswissbay.ch/archlinux", "https://theswissbay.ch/archlinux")</f>
        <v>https://theswissbay.ch/archlinux</v>
      </c>
      <c r="B129" t="s">
        <v>5</v>
      </c>
      <c r="C129" t="str">
        <f>HYPERLINK("https://www.reddit.com/r/opendirectories/comments/kraz97", "The Swiss Bay: new content, new endpoints, more security")</f>
        <v>The Swiss Bay: new content, new endpoints, more security</v>
      </c>
      <c r="D129" t="s">
        <v>590</v>
      </c>
    </row>
    <row r="130" spans="1:5" x14ac:dyDescent="0.2">
      <c r="A130" t="str">
        <f>HYPERLINK("http://u2mad.com/ebooks", "http://u2mad.com/ebooks")</f>
        <v>http://u2mad.com/ebooks</v>
      </c>
      <c r="B130" t="s">
        <v>5</v>
      </c>
      <c r="C130" t="str">
        <f>HYPERLINK("https://www.reddit.com/r/opendirectories/comments/kqutz0", "Few RPG PDFs")</f>
        <v>Few RPG PDFs</v>
      </c>
      <c r="D130" t="s">
        <v>296</v>
      </c>
    </row>
    <row r="131" spans="1:5" x14ac:dyDescent="0.2">
      <c r="A131" t="str">
        <f>HYPERLINK("https://uglyduck.vajn.icu/ep", "https://uglyduck.vajn.icu/ep")</f>
        <v>https://uglyduck.vajn.icu/ep</v>
      </c>
      <c r="B131" t="s">
        <v>5</v>
      </c>
      <c r="C131" t="str">
        <f>HYPERLINK("https://www.reddit.com/r/opendirectories/comments/k7nxmp", "Electronic Blog with OD &amp;amp; tons of electronic products PDF's")</f>
        <v>Electronic Blog with OD &amp;amp; tons of electronic products PDF's</v>
      </c>
      <c r="D131" t="s">
        <v>301</v>
      </c>
    </row>
    <row r="132" spans="1:5" x14ac:dyDescent="0.2">
      <c r="A132" t="str">
        <f>HYPERLINK("http://uglyduck.vajn.icu/PDF", "http://uglyduck.vajn.icu/PDF")</f>
        <v>http://uglyduck.vajn.icu/PDF</v>
      </c>
      <c r="B132" t="s">
        <v>5</v>
      </c>
      <c r="C132" t="str">
        <f>HYPERLINK("https://www.reddit.com/r/opendirectories/comments/k7nxmp", "Electronic Blog with OD &amp;amp; tons of electronic products PDF's")</f>
        <v>Electronic Blog with OD &amp;amp; tons of electronic products PDF's</v>
      </c>
      <c r="D132" t="s">
        <v>301</v>
      </c>
    </row>
    <row r="133" spans="1:5" x14ac:dyDescent="0.2">
      <c r="A133" t="str">
        <f>HYPERLINK("https://home.pilsfree.net", "https://home.pilsfree.net")</f>
        <v>https://home.pilsfree.net</v>
      </c>
      <c r="B133" t="s">
        <v>5</v>
      </c>
      <c r="C133" t="str">
        <f>HYPERLINK("https://www.reddit.com/r/opendirectories/comments/ape43b", "list of RE-POST's")</f>
        <v>list of RE-POST's</v>
      </c>
      <c r="D133" t="s">
        <v>396</v>
      </c>
    </row>
    <row r="134" spans="1:5" x14ac:dyDescent="0.2">
      <c r="A134" t="str">
        <f>HYPERLINK("http://www.kkoworld.com", "http://www.kkoworld.com")</f>
        <v>http://www.kkoworld.com</v>
      </c>
      <c r="B134" t="s">
        <v>5</v>
      </c>
      <c r="C134" t="str">
        <f>HYPERLINK("https://www.reddit.com/r/opendirectories/comments/jzqsk3", "Non-English ebooks, pdfs")</f>
        <v>Non-English ebooks, pdfs</v>
      </c>
      <c r="D134" t="s">
        <v>59</v>
      </c>
      <c r="E134" t="s">
        <v>14</v>
      </c>
    </row>
    <row r="135" spans="1:5" x14ac:dyDescent="0.2">
      <c r="A135" t="str">
        <f>HYPERLINK("https://stepheniemeyer.com/wp-content/uploads", "https://stepheniemeyer.com/wp-content/uploads")</f>
        <v>https://stepheniemeyer.com/wp-content/uploads</v>
      </c>
      <c r="B135" t="s">
        <v>5</v>
      </c>
      <c r="C135" t="str">
        <f>HYPERLINK("https://www.reddit.com/r/opendirectories/comments/jzo7ea", "Twilight photos, pdfs, mp3s from Stephenie Meyer's own website.")</f>
        <v>Twilight photos, pdfs, mp3s from Stephenie Meyer's own website.</v>
      </c>
      <c r="D135" t="s">
        <v>59</v>
      </c>
    </row>
    <row r="136" spans="1:5" x14ac:dyDescent="0.2">
      <c r="A136" t="str">
        <f>HYPERLINK("http://quads.ddns.net", "http://quads.ddns.net")</f>
        <v>http://quads.ddns.net</v>
      </c>
      <c r="B136" t="s">
        <v>5</v>
      </c>
      <c r="C136" t="str">
        <f>HYPERLINK("https://www.reddit.com/r/opendirectories/comments/jhdqk6", "Anyone need atv service manuals?")</f>
        <v>Anyone need atv service manuals?</v>
      </c>
      <c r="D136" t="s">
        <v>64</v>
      </c>
    </row>
    <row r="137" spans="1:5" x14ac:dyDescent="0.2">
      <c r="A137" t="str">
        <f>HYPERLINK("http://www.haflingerhorse.com/documents", "http://www.haflingerhorse.com/documents")</f>
        <v>http://www.haflingerhorse.com/documents</v>
      </c>
      <c r="B137" t="s">
        <v>5</v>
      </c>
      <c r="C137" t="str">
        <f>HYPERLINK("https://www.reddit.com/r/opendirectories/comments/jf7khn", "American Halflinger Registry (Horses). LOTS of magazine (passworded with the passwords in TXT files in the same directory), show results, general documents, etc.")</f>
        <v>American Halflinger Registry (Horses). LOTS of magazine (passworded with the passwords in TXT files in the same directory), show results, general documents, etc.</v>
      </c>
      <c r="D137" t="s">
        <v>65</v>
      </c>
    </row>
    <row r="138" spans="1:5" x14ac:dyDescent="0.2">
      <c r="A138" t="str">
        <f>HYPERLINK("https://p.iafastro.directory/download/congress/IAC-20/files", "https://p.iafastro.directory/download/congress/IAC-20/files")</f>
        <v>https://p.iafastro.directory/download/congress/IAC-20/files</v>
      </c>
      <c r="B138" t="s">
        <v>5</v>
      </c>
      <c r="C138" t="str">
        <f>HYPERLINK("https://www.reddit.com/r/opendirectories/comments/jazv1w", "All Presentations and Papers of the International Astronautical Congress 2020")</f>
        <v>All Presentations and Papers of the International Astronautical Congress 2020</v>
      </c>
      <c r="D138" t="s">
        <v>313</v>
      </c>
    </row>
    <row r="139" spans="1:5" x14ac:dyDescent="0.2">
      <c r="A139" t="str">
        <f>HYPERLINK("https://onan.xmsi.net", "https://onan.xmsi.net")</f>
        <v>https://onan.xmsi.net</v>
      </c>
      <c r="B139" t="s">
        <v>5</v>
      </c>
      <c r="C139" t="str">
        <f>HYPERLINK("https://www.reddit.com/r/opendirectories/comments/inz1lp", "Onan and Cummins Gensets Manuals")</f>
        <v>Onan and Cummins Gensets Manuals</v>
      </c>
      <c r="D139" t="s">
        <v>591</v>
      </c>
    </row>
    <row r="140" spans="1:5" x14ac:dyDescent="0.2">
      <c r="A140" t="str">
        <f>HYPERLINK("http://www.jeepolog.com/UserFiles", "http://www.jeepolog.com/UserFiles")</f>
        <v>http://www.jeepolog.com/UserFiles</v>
      </c>
      <c r="B140" t="s">
        <v>5</v>
      </c>
      <c r="C140" t="str">
        <f>HYPERLINK("https://www.reddit.com/r/opendirectories/comments/ikct32", "Jeep and other 4X4 Manuals and Information")</f>
        <v>Jeep and other 4X4 Manuals and Information</v>
      </c>
      <c r="D140" t="s">
        <v>315</v>
      </c>
    </row>
    <row r="141" spans="1:5" x14ac:dyDescent="0.2">
      <c r="A141" t="str">
        <f>HYPERLINK("http://icarpc.com.ua/files", "http://icarpc.com.ua/files")</f>
        <v>http://icarpc.com.ua/files</v>
      </c>
      <c r="B141" t="s">
        <v>5</v>
      </c>
      <c r="C141" t="str">
        <f>HYPERLINK("https://www.reddit.com/r/opendirectories/comments/ifbj8c", "Config and docs files about cars connectics (RU - EN)")</f>
        <v>Config and docs files about cars connectics (RU - EN)</v>
      </c>
      <c r="D141" t="s">
        <v>71</v>
      </c>
    </row>
    <row r="142" spans="1:5" x14ac:dyDescent="0.2">
      <c r="A142" t="str">
        <f>HYPERLINK("https://macrinabakery.com/pdf", "https://macrinabakery.com/pdf")</f>
        <v>https://macrinabakery.com/pdf</v>
      </c>
      <c r="B142" t="s">
        <v>5</v>
      </c>
      <c r="C142" t="str">
        <f>HYPERLINK("https://www.reddit.com/r/opendirectories/comments/if9ihz", "Recipes from Macrina Bakery")</f>
        <v>Recipes from Macrina Bakery</v>
      </c>
      <c r="D142" t="s">
        <v>71</v>
      </c>
    </row>
    <row r="143" spans="1:5" x14ac:dyDescent="0.2">
      <c r="A143" t="str">
        <f>HYPERLINK("http://www.spaz.org/~jake/pix", "http://www.spaz.org/~jake/pix")</f>
        <v>http://www.spaz.org/~jake/pix</v>
      </c>
      <c r="B143" t="s">
        <v>5</v>
      </c>
      <c r="C143" t="str">
        <f>HYPERLINK("https://www.reddit.com/r/opendirectories/comments/ie1fkf", "Some ebooks, audiobooks")</f>
        <v>Some ebooks, audiobooks</v>
      </c>
      <c r="D143" t="s">
        <v>72</v>
      </c>
      <c r="E143" t="s">
        <v>592</v>
      </c>
    </row>
    <row r="144" spans="1:5" x14ac:dyDescent="0.2">
      <c r="A144" t="str">
        <f>HYPERLINK("https://www.aroc-usa.org/library", "https://www.aroc-usa.org/library")</f>
        <v>https://www.aroc-usa.org/library</v>
      </c>
      <c r="B144" t="s">
        <v>5</v>
      </c>
      <c r="C144" t="str">
        <f>HYPERLINK("https://www.reddit.com/r/opendirectories/comments/idmqdc", "Alfa Romeo Information")</f>
        <v>Alfa Romeo Information</v>
      </c>
      <c r="D144" t="s">
        <v>72</v>
      </c>
    </row>
    <row r="145" spans="1:5" x14ac:dyDescent="0.2">
      <c r="A145" t="str">
        <f>HYPERLINK("http://rtellason.com/manuals", "http://rtellason.com/manuals")</f>
        <v>http://rtellason.com/manuals</v>
      </c>
      <c r="B145" t="s">
        <v>5</v>
      </c>
      <c r="C145" t="str">
        <f>HYPERLINK("https://www.reddit.com/r/opendirectories/comments/idmfd1", "Computer Hardware, Printers, Schematics Manuals and More")</f>
        <v>Computer Hardware, Printers, Schematics Manuals and More</v>
      </c>
      <c r="D145" t="s">
        <v>72</v>
      </c>
    </row>
    <row r="146" spans="1:5" x14ac:dyDescent="0.2">
      <c r="A146" t="str">
        <f>HYPERLINK("http://web.ncf.ca/da229/smallengine", "http://web.ncf.ca/da229/smallengine")</f>
        <v>http://web.ncf.ca/da229/smallengine</v>
      </c>
      <c r="B146" t="s">
        <v>5</v>
      </c>
      <c r="C146" t="str">
        <f>HYPERLINK("https://www.reddit.com/r/opendirectories/comments/idm9zz", "More Small Engine / Law and Garden Manuals")</f>
        <v>More Small Engine / Law and Garden Manuals</v>
      </c>
      <c r="D146" t="s">
        <v>72</v>
      </c>
    </row>
    <row r="147" spans="1:5" x14ac:dyDescent="0.2">
      <c r="A147" t="str">
        <f>HYPERLINK("http://www.lynchjim.com/Pdf", "http://www.lynchjim.com/Pdf")</f>
        <v>http://www.lynchjim.com/Pdf</v>
      </c>
      <c r="B147" t="s">
        <v>5</v>
      </c>
      <c r="C147" t="str">
        <f>HYPERLINK("https://www.reddit.com/r/opendirectories/comments/hgljzc", "An interesting little site being hosted out of a boomer's living room...")</f>
        <v>An interesting little site being hosted out of a boomer's living room...</v>
      </c>
      <c r="D147" t="s">
        <v>82</v>
      </c>
    </row>
    <row r="148" spans="1:5" x14ac:dyDescent="0.2">
      <c r="A148" t="str">
        <f>HYPERLINK("http://wedophones.com/Manuals", "http://wedophones.com/Manuals")</f>
        <v>http://wedophones.com/Manuals</v>
      </c>
      <c r="B148" t="s">
        <v>5</v>
      </c>
      <c r="C148" t="str">
        <f>HYPERLINK("https://www.reddit.com/r/opendirectories/comments/idls4o", "Subaru Generator Manuals")</f>
        <v>Subaru Generator Manuals</v>
      </c>
      <c r="D148" t="s">
        <v>72</v>
      </c>
    </row>
    <row r="149" spans="1:5" x14ac:dyDescent="0.2">
      <c r="A149" t="str">
        <f>HYPERLINK("http://manualy.kupca.cz", "http://manualy.kupca.cz")</f>
        <v>http://manualy.kupca.cz</v>
      </c>
      <c r="B149" t="s">
        <v>5</v>
      </c>
      <c r="C149" t="str">
        <f>HYPERLINK("https://www.reddit.com/r/opendirectories/comments/iao4vu", "manuals")</f>
        <v>manuals</v>
      </c>
      <c r="D149" t="s">
        <v>480</v>
      </c>
    </row>
    <row r="150" spans="1:5" x14ac:dyDescent="0.2">
      <c r="A150" t="str">
        <f>HYPERLINK("https://archives.eyrie.org", "https://archives.eyrie.org")</f>
        <v>https://archives.eyrie.org</v>
      </c>
      <c r="B150" t="s">
        <v>5</v>
      </c>
      <c r="C150" t="str">
        <f>HYPERLINK("https://www.reddit.com/r/opendirectories/comments/dzq53d", "Evangelion Fanfic (Not NSFW but weird as fuck, if you know evangelion)")</f>
        <v>Evangelion Fanfic (Not NSFW but weird as fuck, if you know evangelion)</v>
      </c>
      <c r="D150" t="s">
        <v>105</v>
      </c>
    </row>
    <row r="151" spans="1:5" x14ac:dyDescent="0.2">
      <c r="A151" t="str">
        <f>HYPERLINK("http://nube.burningthetowers.com/ebook/Ebook_informatica", "http://nube.burningthetowers.com/ebook/Ebook_informatica")</f>
        <v>http://nube.burningthetowers.com/ebook/Ebook_informatica</v>
      </c>
      <c r="B151" t="s">
        <v>5</v>
      </c>
      <c r="C151" t="str">
        <f>HYPERLINK("https://www.reddit.com/r/opendirectories/comments/hxdbau", "Programming stuff")</f>
        <v>Programming stuff</v>
      </c>
      <c r="D151" t="s">
        <v>482</v>
      </c>
      <c r="E151" t="s">
        <v>377</v>
      </c>
    </row>
    <row r="152" spans="1:5" x14ac:dyDescent="0.2">
      <c r="A152" t="str">
        <f>HYPERLINK("https://lost-contact.mit.edu/afs/adrake.org", "https://lost-contact.mit.edu/afs/adrake.org")</f>
        <v>https://lost-contact.mit.edu/afs/adrake.org</v>
      </c>
      <c r="B152" t="s">
        <v>5</v>
      </c>
      <c r="C152" t="str">
        <f>HYPERLINK("https://www.reddit.com/r/opendirectories/comments/9cjnuc", "Games/warez?")</f>
        <v>Games/warez?</v>
      </c>
      <c r="D152" t="s">
        <v>593</v>
      </c>
      <c r="E152" t="s">
        <v>594</v>
      </c>
    </row>
    <row r="153" spans="1:5" x14ac:dyDescent="0.2">
      <c r="A153" t="str">
        <f>HYPERLINK("https://lira.epac.to/DOCS-TECH", "https://lira.epac.to/DOCS-TECH")</f>
        <v>https://lira.epac.to/DOCS-TECH</v>
      </c>
      <c r="B153" t="s">
        <v>5</v>
      </c>
      <c r="C153" t="str">
        <f>HYPERLINK("https://www.reddit.com/r/opendirectories/comments/b1anhn", "More books, good older hacking section")</f>
        <v>More books, good older hacking section</v>
      </c>
      <c r="D153" t="s">
        <v>332</v>
      </c>
      <c r="E153" t="s">
        <v>377</v>
      </c>
    </row>
    <row r="154" spans="1:5" x14ac:dyDescent="0.2">
      <c r="A154" t="str">
        <f>HYPERLINK("https://dev.rbcafe.com", "https://dev.rbcafe.com")</f>
        <v>https://dev.rbcafe.com</v>
      </c>
      <c r="B154" t="s">
        <v>5</v>
      </c>
      <c r="C154" t="str">
        <f>HYPERLINK("https://www.reddit.com/r/opendirectories/comments/hxdbau", "Programming stuff")</f>
        <v>Programming stuff</v>
      </c>
      <c r="D154" t="s">
        <v>482</v>
      </c>
      <c r="E154" t="s">
        <v>377</v>
      </c>
    </row>
    <row r="155" spans="1:5" x14ac:dyDescent="0.2">
      <c r="A155" t="str">
        <f>HYPERLINK("https://www.cse.unr.edu/~check", "https://www.cse.unr.edu/~check")</f>
        <v>https://www.cse.unr.edu/~check</v>
      </c>
      <c r="B155" t="s">
        <v>5</v>
      </c>
      <c r="C155" t="str">
        <f>HYPERLINK("https://www.reddit.com/r/opendirectories/comments/hxdbau", "Programming stuff")</f>
        <v>Programming stuff</v>
      </c>
      <c r="D155" t="s">
        <v>482</v>
      </c>
      <c r="E155" t="s">
        <v>377</v>
      </c>
    </row>
    <row r="156" spans="1:5" x14ac:dyDescent="0.2">
      <c r="A156" t="str">
        <f>HYPERLINK("http://www.cesarkallas.net/arquivos", "http://www.cesarkallas.net/arquivos")</f>
        <v>http://www.cesarkallas.net/arquivos</v>
      </c>
      <c r="B156" t="s">
        <v>5</v>
      </c>
      <c r="C156" t="str">
        <f>HYPERLINK("https://www.reddit.com/r/opendirectories/comments/hxdbau", "Programming stuff")</f>
        <v>Programming stuff</v>
      </c>
      <c r="D156" t="s">
        <v>482</v>
      </c>
      <c r="E156" t="s">
        <v>377</v>
      </c>
    </row>
    <row r="157" spans="1:5" x14ac:dyDescent="0.2">
      <c r="A157" t="str">
        <f>HYPERLINK("http://www.robot.bmstu.ru/files", "http://www.robot.bmstu.ru/files")</f>
        <v>http://www.robot.bmstu.ru/files</v>
      </c>
      <c r="B157" t="s">
        <v>5</v>
      </c>
      <c r="C157" t="str">
        <f>HYPERLINK("https://www.reddit.com/r/opendirectories/comments/hxdbau", "Programming stuff")</f>
        <v>Programming stuff</v>
      </c>
      <c r="D157" t="s">
        <v>482</v>
      </c>
      <c r="E157" t="s">
        <v>377</v>
      </c>
    </row>
    <row r="158" spans="1:5" x14ac:dyDescent="0.2">
      <c r="A158" t="str">
        <f>HYPERLINK("https://store.dockerme.ir", "https://store.dockerme.ir")</f>
        <v>https://store.dockerme.ir</v>
      </c>
      <c r="B158" t="s">
        <v>5</v>
      </c>
      <c r="C158" t="str">
        <f>HYPERLINK("https://www.reddit.com/r/opendirectories/comments/cc7y96", "Handfull of Linux/Docker pdfs")</f>
        <v>Handfull of Linux/Docker pdfs</v>
      </c>
      <c r="D158" t="s">
        <v>595</v>
      </c>
      <c r="E158" t="s">
        <v>377</v>
      </c>
    </row>
    <row r="159" spans="1:5" x14ac:dyDescent="0.2">
      <c r="A159" t="str">
        <f>HYPERLINK("http://lab.ilkom.unila.ac.id/ebook", "http://lab.ilkom.unila.ac.id/ebook")</f>
        <v>http://lab.ilkom.unila.ac.id/ebook</v>
      </c>
      <c r="B159" t="s">
        <v>5</v>
      </c>
      <c r="C159" t="str">
        <f>HYPERLINK("https://www.reddit.com/r/opendirectories/comments/hxdbau", "Programming stuff")</f>
        <v>Programming stuff</v>
      </c>
      <c r="D159" t="s">
        <v>482</v>
      </c>
      <c r="E159" t="s">
        <v>377</v>
      </c>
    </row>
    <row r="160" spans="1:5" x14ac:dyDescent="0.2">
      <c r="A160" t="str">
        <f>HYPERLINK("https://www.ic.unicamp.br/~stolfi/EXPORT", "https://www.ic.unicamp.br/~stolfi/EXPORT")</f>
        <v>https://www.ic.unicamp.br/~stolfi/EXPORT</v>
      </c>
      <c r="B160" t="s">
        <v>5</v>
      </c>
      <c r="C160" t="str">
        <f>HYPERLINK("https://www.reddit.com/r/opendirectories/comments/hw72hr", "Bitcoin, Voynich Manuscript, and Other Research Papers")</f>
        <v>Bitcoin, Voynich Manuscript, and Other Research Papers</v>
      </c>
      <c r="D160" t="s">
        <v>596</v>
      </c>
    </row>
    <row r="161" spans="1:5" x14ac:dyDescent="0.2">
      <c r="A161" t="str">
        <f>HYPERLINK("https://www.dhammatalks.net/Books", "https://www.dhammatalks.net/Books")</f>
        <v>https://www.dhammatalks.net/Books</v>
      </c>
      <c r="B161" t="s">
        <v>5</v>
      </c>
      <c r="C161" t="str">
        <f>HYPERLINK("https://www.reddit.com/r/opendirectories/comments/ht25l9", "buddhist books and articles")</f>
        <v>buddhist books and articles</v>
      </c>
      <c r="D161" t="s">
        <v>597</v>
      </c>
    </row>
    <row r="162" spans="1:5" x14ac:dyDescent="0.2">
      <c r="A162" t="str">
        <f>HYPERLINK("https://www.dhammatalks.net/Articles", "https://www.dhammatalks.net/Articles")</f>
        <v>https://www.dhammatalks.net/Articles</v>
      </c>
      <c r="B162" t="s">
        <v>5</v>
      </c>
      <c r="C162" t="str">
        <f>HYPERLINK("https://www.reddit.com/r/opendirectories/comments/ht25l9", "buddhist books and articles")</f>
        <v>buddhist books and articles</v>
      </c>
      <c r="D162" t="s">
        <v>597</v>
      </c>
    </row>
    <row r="163" spans="1:5" x14ac:dyDescent="0.2">
      <c r="A163" t="str">
        <f>HYPERLINK("https://channelvision.com/wp-content/uploads", "https://channelvision.com/wp-content/uploads")</f>
        <v>https://channelvision.com/wp-content/uploads</v>
      </c>
      <c r="B163" t="s">
        <v>5</v>
      </c>
      <c r="C163" t="str">
        <f>HYPERLINK("https://www.reddit.com/r/opendirectories/comments/hpr0gx", "Channelvision service manuals (Security, AV)")</f>
        <v>Channelvision service manuals (Security, AV)</v>
      </c>
      <c r="D163" t="s">
        <v>404</v>
      </c>
    </row>
    <row r="164" spans="1:5" x14ac:dyDescent="0.2">
      <c r="A164" t="str">
        <f>HYPERLINK("https://ideas.repec.org/a", "https://ideas.repec.org/a")</f>
        <v>https://ideas.repec.org/a</v>
      </c>
      <c r="B164" t="s">
        <v>5</v>
      </c>
      <c r="C164" t="str">
        <f>HYPERLINK("https://www.reddit.com/r/opendirectories/comments/hmmmop", "A bunch of college papers. Change the letter a to a b...c....d....and so on")</f>
        <v>A bunch of college papers. Change the letter a to a b...c....d....and so on</v>
      </c>
      <c r="D164" t="s">
        <v>80</v>
      </c>
    </row>
    <row r="165" spans="1:5" x14ac:dyDescent="0.2">
      <c r="A165" t="str">
        <f>HYPERLINK("http://www.nationalcoalcouncil.org/Documents", "http://www.nationalcoalcouncil.org/Documents")</f>
        <v>http://www.nationalcoalcouncil.org/Documents</v>
      </c>
      <c r="B165" t="s">
        <v>5</v>
      </c>
      <c r="C165" t="str">
        <f>HYPERLINK("https://www.reddit.com/r/opendirectories/comments/hfr6oq", "Some pro-coal propaganda papers from the National Coal Council...")</f>
        <v>Some pro-coal propaganda papers from the National Coal Council...</v>
      </c>
      <c r="D165" t="s">
        <v>83</v>
      </c>
    </row>
    <row r="166" spans="1:5" x14ac:dyDescent="0.2">
      <c r="A166" t="str">
        <f>HYPERLINK("https://medusa.teodesian.net", "https://medusa.teodesian.net")</f>
        <v>https://medusa.teodesian.net</v>
      </c>
      <c r="B166" t="s">
        <v>5</v>
      </c>
      <c r="C166" t="str">
        <f>HYPERLINK("https://www.reddit.com/r/opendirectories/comments/hahilf", "A large amount of math textbooks, among other things")</f>
        <v>A large amount of math textbooks, among other things</v>
      </c>
      <c r="D166" t="s">
        <v>598</v>
      </c>
    </row>
    <row r="167" spans="1:5" x14ac:dyDescent="0.2">
      <c r="A167" t="str">
        <f>HYPERLINK("https://etypeservices.com/SWF", "https://etypeservices.com/SWF")</f>
        <v>https://etypeservices.com/SWF</v>
      </c>
      <c r="B167" t="s">
        <v>5</v>
      </c>
      <c r="C167" t="str">
        <f>HYPERLINK("https://www.reddit.com/r/opendirectories/comments/gl1uli", "[pdfs] Hundreds of US newspapers and magazines.")</f>
        <v>[pdfs] Hundreds of US newspapers and magazines.</v>
      </c>
      <c r="D167" t="s">
        <v>599</v>
      </c>
    </row>
    <row r="168" spans="1:5" x14ac:dyDescent="0.2">
      <c r="A168" t="str">
        <f>HYPERLINK("https://www.giltweasel.com", "https://www.giltweasel.com")</f>
        <v>https://www.giltweasel.com</v>
      </c>
      <c r="B168" t="s">
        <v>5</v>
      </c>
      <c r="C168" t="str">
        <f>HYPERLINK("https://www.reddit.com/r/opendirectories/comments/gbsuoj", "15 (originals?) english books directories . One with a giga collection of Physics, Fiction, Survival")</f>
        <v>15 (originals?) english books directories . One with a giga collection of Physics, Fiction, Survival</v>
      </c>
      <c r="D168" t="s">
        <v>527</v>
      </c>
      <c r="E168" t="s">
        <v>592</v>
      </c>
    </row>
    <row r="169" spans="1:5" x14ac:dyDescent="0.2">
      <c r="A169" t="str">
        <f>HYPERLINK("https://bobson.ludost.net", "https://bobson.ludost.net")</f>
        <v>https://bobson.ludost.net</v>
      </c>
      <c r="B169" t="s">
        <v>5</v>
      </c>
      <c r="C169" t="str">
        <f>HYPERLINK("https://www.reddit.com/r/opendirectories/comments/gbsuoj", "15 (originals?) english books directories . One with a giga collection of Physics, Fiction, Survival")</f>
        <v>15 (originals?) english books directories . One with a giga collection of Physics, Fiction, Survival</v>
      </c>
      <c r="D169" t="s">
        <v>527</v>
      </c>
      <c r="E169" t="s">
        <v>592</v>
      </c>
    </row>
    <row r="170" spans="1:5" x14ac:dyDescent="0.2">
      <c r="A170" t="str">
        <f>HYPERLINK("http://tammy.murphworld.com", "http://tammy.murphworld.com")</f>
        <v>http://tammy.murphworld.com</v>
      </c>
      <c r="B170" t="s">
        <v>5</v>
      </c>
      <c r="C170" t="str">
        <f>HYPERLINK("https://www.reddit.com/r/opendirectories/comments/gbsuoj", "15 (originals?) english books directories . One with a giga collection of Physics, Fiction, Survival")</f>
        <v>15 (originals?) english books directories . One with a giga collection of Physics, Fiction, Survival</v>
      </c>
      <c r="D170" t="s">
        <v>527</v>
      </c>
      <c r="E170" t="s">
        <v>592</v>
      </c>
    </row>
    <row r="171" spans="1:5" x14ac:dyDescent="0.2">
      <c r="A171" t="str">
        <f>HYPERLINK("http://www.chersi.it/listing", "http://www.chersi.it/listing")</f>
        <v>http://www.chersi.it/listing</v>
      </c>
      <c r="B171" t="s">
        <v>5</v>
      </c>
      <c r="C171" t="str">
        <f>HYPERLINK("https://www.reddit.com/r/opendirectories/comments/ef3s4u", "Some books in different languages (english, dutch, italian, ...) I just discovered")</f>
        <v>Some books in different languages (english, dutch, italian, ...) I just discovered</v>
      </c>
      <c r="D171" t="s">
        <v>600</v>
      </c>
      <c r="E171" t="s">
        <v>601</v>
      </c>
    </row>
    <row r="172" spans="1:5" x14ac:dyDescent="0.2">
      <c r="A172" t="str">
        <f>HYPERLINK("http://files.abandonia.com/extras", "http://files.abandonia.com/extras")</f>
        <v>http://files.abandonia.com/extras</v>
      </c>
      <c r="B172" t="s">
        <v>5</v>
      </c>
      <c r="C172" t="str">
        <f>HYPERLINK("https://www.reddit.com/r/opendirectories/comments/g6u1c3", "Abandoned games related stuff - books, manuals, magazines, reviews")</f>
        <v>Abandoned games related stuff - books, manuals, magazines, reviews</v>
      </c>
      <c r="D172" t="s">
        <v>602</v>
      </c>
    </row>
    <row r="173" spans="1:5" x14ac:dyDescent="0.2">
      <c r="A173" t="str">
        <f>HYPERLINK("http://malus.exotica.org.uk/~buzz", "http://malus.exotica.org.uk/~buzz")</f>
        <v>http://malus.exotica.org.uk/~buzz</v>
      </c>
      <c r="B173" t="s">
        <v>5</v>
      </c>
      <c r="C173" t="str">
        <f>HYPERLINK("https://www.reddit.com/r/opendirectories/comments/f9s434", "Byte Magazine old issues in PDF from 1975 till 1986 (and some others from later years). High rez scans.")</f>
        <v>Byte Magazine old issues in PDF from 1975 till 1986 (and some others from later years). High rez scans.</v>
      </c>
      <c r="D173" t="s">
        <v>603</v>
      </c>
    </row>
    <row r="174" spans="1:5" x14ac:dyDescent="0.2">
      <c r="A174" t="str">
        <f>HYPERLINK("https://data.passageenseine.org", "https://data.passageenseine.org")</f>
        <v>https://data.passageenseine.org</v>
      </c>
      <c r="B174" t="s">
        <v>5</v>
      </c>
      <c r="C174" t="str">
        <f>HYPERLINK("https://www.reddit.com/r/opendirectories/comments/g4yd13", "a lot of documents and video tutorials in french")</f>
        <v>a lot of documents and video tutorials in french</v>
      </c>
      <c r="D174" t="s">
        <v>90</v>
      </c>
      <c r="E174" t="s">
        <v>51</v>
      </c>
    </row>
    <row r="175" spans="1:5" x14ac:dyDescent="0.2">
      <c r="A175" t="str">
        <f>HYPERLINK("http://www.globalfactcheck.org/documents", "http://www.globalfactcheck.org/documents")</f>
        <v>http://www.globalfactcheck.org/documents</v>
      </c>
      <c r="B175" t="s">
        <v>5</v>
      </c>
      <c r="C175" t="str">
        <f>HYPERLINK("https://www.reddit.com/r/opendirectories/comments/g0h7p9", "Pdfs")</f>
        <v>Pdfs</v>
      </c>
      <c r="D175" t="s">
        <v>450</v>
      </c>
    </row>
    <row r="176" spans="1:5" x14ac:dyDescent="0.2">
      <c r="A176" t="str">
        <f>HYPERLINK("http://ghp.papnet.eu", "http://ghp.papnet.eu")</f>
        <v>http://ghp.papnet.eu</v>
      </c>
      <c r="B176" t="s">
        <v>5</v>
      </c>
      <c r="C176" t="str">
        <f>HYPERLINK("https://www.reddit.com/r/opendirectories/comments/67czhe", "Some German flicks")</f>
        <v>Some German flicks</v>
      </c>
      <c r="D176" t="s">
        <v>604</v>
      </c>
      <c r="E176" t="s">
        <v>605</v>
      </c>
    </row>
    <row r="177" spans="1:5" x14ac:dyDescent="0.2">
      <c r="A177" t="str">
        <f>HYPERLINK("http://cista.net/tomes", "http://cista.net/tomes")</f>
        <v>http://cista.net/tomes</v>
      </c>
      <c r="B177" t="s">
        <v>5</v>
      </c>
      <c r="C177" t="str">
        <f>HYPERLINK("https://www.reddit.com/r/opendirectories/comments/e81f03", "Tomes")</f>
        <v>Tomes</v>
      </c>
      <c r="D177" t="s">
        <v>606</v>
      </c>
    </row>
    <row r="178" spans="1:5" x14ac:dyDescent="0.2">
      <c r="A178" t="str">
        <f>HYPERLINK("https://doc.downloadha.com", "https://doc.downloadha.com")</f>
        <v>https://doc.downloadha.com</v>
      </c>
      <c r="B178" t="s">
        <v>5</v>
      </c>
      <c r="C178" t="str">
        <f>HYPERLINK("https://www.reddit.com/r/opendirectories/comments/d5e6ka", "Lots of Documentaries, BBC, Nature, MvGroup etc.")</f>
        <v>Lots of Documentaries, BBC, Nature, MvGroup etc.</v>
      </c>
      <c r="D178" t="s">
        <v>407</v>
      </c>
    </row>
    <row r="179" spans="1:5" x14ac:dyDescent="0.2">
      <c r="A179" t="str">
        <f>HYPERLINK("http://goran.tangring.com/tabs", "http://goran.tangring.com/tabs")</f>
        <v>http://goran.tangring.com/tabs</v>
      </c>
      <c r="B179" t="s">
        <v>5</v>
      </c>
      <c r="C179" t="str">
        <f>HYPERLINK("https://www.reddit.com/r/opendirectories/comments/furios", "Guitar Tabs")</f>
        <v>Guitar Tabs</v>
      </c>
      <c r="D179" t="s">
        <v>529</v>
      </c>
    </row>
    <row r="180" spans="1:5" x14ac:dyDescent="0.2">
      <c r="A180" t="str">
        <f>HYPERLINK("https://www.classclef.com/pdf", "https://www.classclef.com/pdf")</f>
        <v>https://www.classclef.com/pdf</v>
      </c>
      <c r="B180" t="s">
        <v>5</v>
      </c>
      <c r="C180" t="str">
        <f>HYPERLINK("https://www.reddit.com/r/opendirectories/comments/furios", "Guitar Tabs")</f>
        <v>Guitar Tabs</v>
      </c>
      <c r="D180" t="s">
        <v>529</v>
      </c>
    </row>
    <row r="181" spans="1:5" x14ac:dyDescent="0.2">
      <c r="A181" t="str">
        <f>HYPERLINK("http://www.1001tabs.com/gtp", "http://www.1001tabs.com/gtp")</f>
        <v>http://www.1001tabs.com/gtp</v>
      </c>
      <c r="B181" t="s">
        <v>5</v>
      </c>
      <c r="C181" t="str">
        <f>HYPERLINK("https://www.reddit.com/r/opendirectories/comments/furios", "Guitar Tabs")</f>
        <v>Guitar Tabs</v>
      </c>
      <c r="D181" t="s">
        <v>529</v>
      </c>
    </row>
    <row r="182" spans="1:5" x14ac:dyDescent="0.2">
      <c r="A182" t="str">
        <f>HYPERLINK("https://guitaralliance.com/instant-song-library-download/Instant%20Song%20Library%20PDF", "https://guitaralliance.com/instant-song-library-download/Instant%20Song%20Library%20PDF")</f>
        <v>https://guitaralliance.com/instant-song-library-download/Instant%20Song%20Library%20PDF</v>
      </c>
      <c r="B182" t="s">
        <v>5</v>
      </c>
      <c r="C182" t="str">
        <f>HYPERLINK("https://www.reddit.com/r/opendirectories/comments/furios", "Guitar Tabs")</f>
        <v>Guitar Tabs</v>
      </c>
      <c r="D182" t="s">
        <v>529</v>
      </c>
    </row>
    <row r="183" spans="1:5" x14ac:dyDescent="0.2">
      <c r="A183" t="str">
        <f>HYPERLINK("https://u.demog.berkeley.edu/~jrw/Biblio", "https://u.demog.berkeley.edu/~jrw/Biblio")</f>
        <v>https://u.demog.berkeley.edu/~jrw/Biblio</v>
      </c>
      <c r="B183" t="s">
        <v>5</v>
      </c>
      <c r="C183" t="str">
        <f>HYPERLINK("https://www.reddit.com/r/opendirectories/comments/ffply9", "A bunch of pdfs on demographics I think")</f>
        <v>A bunch of pdfs on demographics I think</v>
      </c>
      <c r="D183" t="s">
        <v>607</v>
      </c>
    </row>
    <row r="184" spans="1:5" x14ac:dyDescent="0.2">
      <c r="A184" t="str">
        <f>HYPERLINK("http://www.anorak.co.uk/wp-content/gallery", "http://www.anorak.co.uk/wp-content/gallery")</f>
        <v>http://www.anorak.co.uk/wp-content/gallery</v>
      </c>
      <c r="B184" t="s">
        <v>5</v>
      </c>
      <c r="C184" t="str">
        <f>HYPERLINK("https://www.reddit.com/r/opendirectories/comments/dk0njj", "Enterainment/news site phtoto index by article name (Some nsfw)")</f>
        <v>Enterainment/news site phtoto index by article name (Some nsfw)</v>
      </c>
      <c r="D184" t="s">
        <v>114</v>
      </c>
    </row>
    <row r="185" spans="1:5" x14ac:dyDescent="0.2">
      <c r="A185" t="str">
        <f>HYPERLINK("http://documents.theblackvault.com/documents/fbifiles", "http://documents.theblackvault.com/documents/fbifiles")</f>
        <v>http://documents.theblackvault.com/documents/fbifiles</v>
      </c>
      <c r="B185" t="s">
        <v>5</v>
      </c>
      <c r="C185" t="str">
        <f>HYPERLINK("https://www.reddit.com/r/opendirectories/comments/ezwnih", "fbi files")</f>
        <v>fbi files</v>
      </c>
      <c r="D185" t="s">
        <v>608</v>
      </c>
    </row>
    <row r="186" spans="1:5" x14ac:dyDescent="0.2">
      <c r="A186" t="str">
        <f>HYPERLINK("http://www.q17.akylax.com", "http://www.q17.akylax.com")</f>
        <v>http://www.q17.akylax.com</v>
      </c>
      <c r="B186" t="s">
        <v>5</v>
      </c>
      <c r="C186" t="str">
        <f>HYPERLINK("https://www.reddit.com/r/opendirectories/comments/exioed", "Books - Fiction -Epub")</f>
        <v>Books - Fiction -Epub</v>
      </c>
      <c r="D186" t="s">
        <v>486</v>
      </c>
    </row>
    <row r="187" spans="1:5" x14ac:dyDescent="0.2">
      <c r="A187" t="str">
        <f>HYPERLINK("https://www.policeprostitutionandpolitics.com/pdfs_all", "https://www.policeprostitutionandpolitics.com/pdfs_all")</f>
        <v>https://www.policeprostitutionandpolitics.com/pdfs_all</v>
      </c>
      <c r="B187" t="s">
        <v>5</v>
      </c>
      <c r="C187" t="str">
        <f>HYPERLINK("https://www.reddit.com/r/opendirectories/comments/euk90i", "Pdfs on police corruption, rape, human trafficking. Ive not looked thru it all tho.")</f>
        <v>Pdfs on police corruption, rape, human trafficking. Ive not looked thru it all tho.</v>
      </c>
      <c r="D187" t="s">
        <v>609</v>
      </c>
    </row>
    <row r="188" spans="1:5" x14ac:dyDescent="0.2">
      <c r="A188" t="str">
        <f>HYPERLINK("http://ftp.sunet.se", "http://ftp.sunet.se")</f>
        <v>http://ftp.sunet.se</v>
      </c>
      <c r="B188" t="s">
        <v>5</v>
      </c>
      <c r="C188" t="str">
        <f>HYPERLINK("https://www.reddit.com/r/opendirectories/comments/eqm9je", "Thousands and thousands of files of all types and sizes. Many from the early days of the Internet.")</f>
        <v>Thousands and thousands of files of all types and sizes. Many from the early days of the Internet.</v>
      </c>
      <c r="D188" t="s">
        <v>322</v>
      </c>
    </row>
    <row r="189" spans="1:5" x14ac:dyDescent="0.2">
      <c r="A189" t="str">
        <f>HYPERLINK("http://www.lesatkins.com/books/epubfiles", "http://www.lesatkins.com/books/epubfiles")</f>
        <v>http://www.lesatkins.com/books/epubfiles</v>
      </c>
      <c r="B189" t="s">
        <v>5</v>
      </c>
      <c r="C189" t="str">
        <f>HYPERLINK("https://www.reddit.com/r/opendirectories/comments/eike1u", "Some random Ebooks found through GoogleDorks")</f>
        <v>Some random Ebooks found through GoogleDorks</v>
      </c>
      <c r="D189" t="s">
        <v>610</v>
      </c>
    </row>
    <row r="190" spans="1:5" x14ac:dyDescent="0.2">
      <c r="A190" t="str">
        <f>HYPERLINK("https://medicalexposedownloads.com/PDF", "https://medicalexposedownloads.com/PDF")</f>
        <v>https://medicalexposedownloads.com/PDF</v>
      </c>
      <c r="B190" t="s">
        <v>5</v>
      </c>
      <c r="D190" t="s">
        <v>611</v>
      </c>
    </row>
    <row r="191" spans="1:5" x14ac:dyDescent="0.2">
      <c r="A191" t="str">
        <f>HYPERLINK("http://biblioteca2.ucab.edu.ve/anexos", "http://biblioteca2.ucab.edu.ve/anexos")</f>
        <v>http://biblioteca2.ucab.edu.ve/anexos</v>
      </c>
      <c r="B191" t="s">
        <v>5</v>
      </c>
      <c r="C191" t="str">
        <f>HYPERLINK("https://www.reddit.com/r/opendirectories/comments/ef3s4u", "Some books in different languages (english, dutch, italian, ...) I just discovered")</f>
        <v>Some books in different languages (english, dutch, italian, ...) I just discovered</v>
      </c>
      <c r="D191" t="s">
        <v>600</v>
      </c>
      <c r="E191" t="s">
        <v>601</v>
      </c>
    </row>
    <row r="192" spans="1:5" x14ac:dyDescent="0.2">
      <c r="A192" t="str">
        <f>HYPERLINK("http://alexalejandre.com", "http://alexalejandre.com")</f>
        <v>http://alexalejandre.com</v>
      </c>
      <c r="B192" t="s">
        <v>5</v>
      </c>
      <c r="C192" t="str">
        <f>HYPERLINK("https://www.reddit.com/r/opendirectories/comments/e7hl4g", "Language grammars/courses in pdf")</f>
        <v>Language grammars/courses in pdf</v>
      </c>
      <c r="D192" t="s">
        <v>612</v>
      </c>
    </row>
    <row r="193" spans="1:5" x14ac:dyDescent="0.2">
      <c r="A193" t="str">
        <f>HYPERLINK("http://www.techweez.com/wp-content/uploads", "http://www.techweez.com/wp-content/uploads")</f>
        <v>http://www.techweez.com/wp-content/uploads</v>
      </c>
      <c r="B193" t="s">
        <v>5</v>
      </c>
      <c r="C193" t="str">
        <f>HYPERLINK("https://www.reddit.com/r/opendirectories/comments/dzq9l8", "TechWeez article thumbnail index")</f>
        <v>TechWeez article thumbnail index</v>
      </c>
      <c r="D193" t="s">
        <v>105</v>
      </c>
    </row>
    <row r="194" spans="1:5" x14ac:dyDescent="0.2">
      <c r="A194" t="str">
        <f>HYPERLINK("http://teknopia.net/new_uploads", "http://teknopia.net/new_uploads")</f>
        <v>http://teknopia.net/new_uploads</v>
      </c>
      <c r="B194" t="s">
        <v>5</v>
      </c>
      <c r="C194" t="str">
        <f>HYPERLINK("https://www.reddit.com/r/opendirectories/comments/bnqm1l", "Daft Punk (several sources)")</f>
        <v>Daft Punk (several sources)</v>
      </c>
      <c r="D194" t="s">
        <v>487</v>
      </c>
    </row>
    <row r="195" spans="1:5" x14ac:dyDescent="0.2">
      <c r="A195" t="str">
        <f>HYPERLINK("http://download.nust.na/pub2", "http://download.nust.na/pub2")</f>
        <v>http://download.nust.na/pub2</v>
      </c>
      <c r="B195" t="s">
        <v>5</v>
      </c>
      <c r="C195" t="str">
        <f>HYPERLINK("https://www.reddit.com/r/opendirectories/comments/aud8yi", "Was looking for a specific open directory, found some interesting ones on the way/")</f>
        <v>Was looking for a specific open directory, found some interesting ones on the way/</v>
      </c>
      <c r="D195" t="s">
        <v>138</v>
      </c>
      <c r="E195" t="s">
        <v>14</v>
      </c>
    </row>
    <row r="196" spans="1:5" x14ac:dyDescent="0.2">
      <c r="A196" t="str">
        <f>HYPERLINK("http://www.pauladaunt.com/books", "http://www.pauladaunt.com/books")</f>
        <v>http://www.pauladaunt.com/books</v>
      </c>
      <c r="B196" t="s">
        <v>5</v>
      </c>
      <c r="C196" t="str">
        <f>HYPERLINK("https://www.reddit.com/r/opendirectories/comments/dqa0ts", "Conspiracy theory books")</f>
        <v>Conspiracy theory books</v>
      </c>
      <c r="D196" t="s">
        <v>111</v>
      </c>
    </row>
    <row r="197" spans="1:5" x14ac:dyDescent="0.2">
      <c r="A197" t="str">
        <f>HYPERLINK("http://www.ramegoom.com/john", "http://www.ramegoom.com/john")</f>
        <v>http://www.ramegoom.com/john</v>
      </c>
      <c r="B197" t="s">
        <v>5</v>
      </c>
      <c r="C197" t="str">
        <f>HYPERLINK("https://www.reddit.com/r/opendirectories/comments/dm3eoj", "Arcade and Other Misc Material")</f>
        <v>Arcade and Other Misc Material</v>
      </c>
      <c r="D197" t="s">
        <v>470</v>
      </c>
    </row>
    <row r="198" spans="1:5" x14ac:dyDescent="0.2">
      <c r="A198" t="str">
        <f>HYPERLINK("http://ftp.dlink.ru", "http://ftp.dlink.ru")</f>
        <v>http://ftp.dlink.ru</v>
      </c>
      <c r="B198" t="s">
        <v>5</v>
      </c>
      <c r="C198" t="str">
        <f>HYPERLINK("https://www.reddit.com/r/opendirectories/comments/dggqp4", "Manuals in Russian.")</f>
        <v>Manuals in Russian.</v>
      </c>
      <c r="D198" t="s">
        <v>536</v>
      </c>
      <c r="E198" t="s">
        <v>156</v>
      </c>
    </row>
    <row r="199" spans="1:5" x14ac:dyDescent="0.2">
      <c r="A199" t="str">
        <f>HYPERLINK("https://users.du.se/~hjo/cs", "https://users.du.se/~hjo/cs")</f>
        <v>https://users.du.se/~hjo/cs</v>
      </c>
      <c r="B199" t="s">
        <v>5</v>
      </c>
      <c r="C199" t="str">
        <f>HYPERLINK("https://www.reddit.com/r/opendirectories/comments/dbh9ya", "Various PDF (and TXT) book resources.")</f>
        <v>Various PDF (and TXT) book resources.</v>
      </c>
      <c r="D199" t="s">
        <v>488</v>
      </c>
    </row>
    <row r="200" spans="1:5" x14ac:dyDescent="0.2">
      <c r="A200" t="str">
        <f>HYPERLINK("http://www.issp.ac.ru/ebooks", "http://www.issp.ac.ru/ebooks")</f>
        <v>http://www.issp.ac.ru/ebooks</v>
      </c>
      <c r="B200" t="s">
        <v>5</v>
      </c>
      <c r="C200" t="str">
        <f>HYPERLINK("https://www.reddit.com/r/opendirectories/comments/dbh9ya", "Various PDF (and TXT) book resources.")</f>
        <v>Various PDF (and TXT) book resources.</v>
      </c>
      <c r="D200" t="s">
        <v>488</v>
      </c>
    </row>
    <row r="201" spans="1:5" x14ac:dyDescent="0.2">
      <c r="A201" t="str">
        <f>HYPERLINK("https://ftp.sunet.se", "https://ftp.sunet.se")</f>
        <v>https://ftp.sunet.se</v>
      </c>
      <c r="B201" t="s">
        <v>5</v>
      </c>
      <c r="C201" t="str">
        <f>HYPERLINK("https://www.reddit.com/r/opendirectories/comments/ak1xka", "Swedish Umea University ACC Club Directory. Has files going back to 94, games, classic anime, books, etc.")</f>
        <v>Swedish Umea University ACC Club Directory. Has files going back to 94, games, classic anime, books, etc.</v>
      </c>
      <c r="D201" t="s">
        <v>414</v>
      </c>
    </row>
    <row r="202" spans="1:5" x14ac:dyDescent="0.2">
      <c r="A202" t="str">
        <f>HYPERLINK("http://161.53.145.110", "http://161.53.145.110")</f>
        <v>http://161.53.145.110</v>
      </c>
      <c r="B202" t="s">
        <v>5</v>
      </c>
      <c r="C202" t="str">
        <f>HYPERLINK("https://www.reddit.com/r/opendirectories/comments/csvove", "Random full PDF's, and images of magazines mainly business and science journals")</f>
        <v>Random full PDF's, and images of magazines mainly business and science journals</v>
      </c>
      <c r="D202" t="s">
        <v>451</v>
      </c>
    </row>
    <row r="203" spans="1:5" x14ac:dyDescent="0.2">
      <c r="A203" t="str">
        <f>HYPERLINK("http://www.youngminds.gr/teamgr/sourta-ferta", "http://www.youngminds.gr/teamgr/sourta-ferta")</f>
        <v>http://www.youngminds.gr/teamgr/sourta-ferta</v>
      </c>
      <c r="B203" t="s">
        <v>5</v>
      </c>
      <c r="C203" t="str">
        <f>HYPERLINK("https://www.reddit.com/r/opendirectories/comments/crlp09", "images , paintings , pdfs and some weird stuff in greek")</f>
        <v>images , paintings , pdfs and some weird stuff in greek</v>
      </c>
      <c r="D203" t="s">
        <v>613</v>
      </c>
    </row>
    <row r="204" spans="1:5" x14ac:dyDescent="0.2">
      <c r="A204" t="str">
        <f>HYPERLINK("http://worrydream.com/refs", "http://worrydream.com/refs")</f>
        <v>http://worrydream.com/refs</v>
      </c>
      <c r="B204" t="s">
        <v>5</v>
      </c>
      <c r="C204" t="str">
        <f>HYPERLINK("https://www.reddit.com/r/opendirectories/comments/4l7wup", "Books about technology and science")</f>
        <v>Books about technology and science</v>
      </c>
      <c r="D204" t="s">
        <v>614</v>
      </c>
    </row>
    <row r="205" spans="1:5" x14ac:dyDescent="0.2">
      <c r="A205" t="str">
        <f>HYPERLINK("https://www.it-consulting-grote.de/web/download", "https://www.it-consulting-grote.de/web/download")</f>
        <v>https://www.it-consulting-grote.de/web/download</v>
      </c>
      <c r="B205" t="s">
        <v>5</v>
      </c>
      <c r="C205" t="str">
        <f>HYPERLINK("https://www.reddit.com/r/opendirectories/comments/bzdlp9", "Windows IT PDFs [DE Hosted]")</f>
        <v>Windows IT PDFs [DE Hosted]</v>
      </c>
      <c r="D205" t="s">
        <v>615</v>
      </c>
    </row>
    <row r="206" spans="1:5" x14ac:dyDescent="0.2">
      <c r="A206" t="str">
        <f>HYPERLINK("https://tgftp.nws.noaa.gov", "https://tgftp.nws.noaa.gov")</f>
        <v>https://tgftp.nws.noaa.gov</v>
      </c>
      <c r="B206" t="s">
        <v>5</v>
      </c>
      <c r="C206" t="str">
        <f>HYPERLINK("https://www.reddit.com/r/opendirectories/comments/by1ycs", "National Weather Service Telecommunication Operations Center OD")</f>
        <v>National Weather Service Telecommunication Operations Center OD</v>
      </c>
      <c r="D206" t="s">
        <v>616</v>
      </c>
    </row>
    <row r="207" spans="1:5" x14ac:dyDescent="0.2">
      <c r="A207" t="str">
        <f>HYPERLINK("https://www.macrinabakery.com/pdf", "https://www.macrinabakery.com/pdf")</f>
        <v>https://www.macrinabakery.com/pdf</v>
      </c>
      <c r="B207" t="s">
        <v>5</v>
      </c>
      <c r="C207" t="str">
        <f>HYPERLINK("https://www.reddit.com/r/opendirectories/comments/bv7oit", "Some recipes (mostly baked goods)")</f>
        <v>Some recipes (mostly baked goods)</v>
      </c>
      <c r="D207" t="s">
        <v>537</v>
      </c>
    </row>
    <row r="208" spans="1:5" x14ac:dyDescent="0.2">
      <c r="A208" t="str">
        <f>HYPERLINK("https://intranet.newriver.edu/images/stories/library/Stennett_Psychology_Articles", "https://intranet.newriver.edu/images/stories/library/Stennett_Psychology_Articles")</f>
        <v>https://intranet.newriver.edu/images/stories/library/Stennett_Psychology_Articles</v>
      </c>
      <c r="B208" t="s">
        <v>5</v>
      </c>
      <c r="C208" t="str">
        <f>HYPERLINK("https://www.reddit.com/r/opendirectories/comments/bi3jht", "Over 600 articles on psychology, very interesting stuff.")</f>
        <v>Over 600 articles on psychology, very interesting stuff.</v>
      </c>
      <c r="D208" t="s">
        <v>617</v>
      </c>
    </row>
    <row r="209" spans="1:4" x14ac:dyDescent="0.2">
      <c r="A209" t="str">
        <f>HYPERLINK("http://preparethewaytoday.com/Prepare_The_Way_Today/Resources_files", "http://preparethewaytoday.com/Prepare_The_Way_Today/Resources_files")</f>
        <v>http://preparethewaytoday.com/Prepare_The_Way_Today/Resources_files</v>
      </c>
      <c r="B209" t="s">
        <v>5</v>
      </c>
      <c r="C209" t="str">
        <f>HYPERLINK("https://www.reddit.com/r/opendirectories/comments/b20anq", "SHTF/prepardness pdf's")</f>
        <v>SHTF/prepardness pdf's</v>
      </c>
      <c r="D209" t="s">
        <v>618</v>
      </c>
    </row>
    <row r="210" spans="1:4" x14ac:dyDescent="0.2">
      <c r="A210" t="str">
        <f>HYPERLINK("http://www.seabrite.com", "http://www.seabrite.com")</f>
        <v>http://www.seabrite.com</v>
      </c>
      <c r="B210" t="s">
        <v>5</v>
      </c>
      <c r="C210" t="str">
        <f>HYPERLINK("https://www.reddit.com/r/opendirectories/comments/afm2h9", "A bunch of recipes from all over the world")</f>
        <v>A bunch of recipes from all over the world</v>
      </c>
      <c r="D210" t="s">
        <v>539</v>
      </c>
    </row>
    <row r="211" spans="1:4" x14ac:dyDescent="0.2">
      <c r="A211" t="str">
        <f>HYPERLINK("http://www.univertron.com/SAS", "http://www.univertron.com/SAS")</f>
        <v>http://www.univertron.com/SAS</v>
      </c>
      <c r="B211" t="s">
        <v>5</v>
      </c>
      <c r="C211" t="str">
        <f>HYPERLINK("https://www.reddit.com/r/opendirectories/comments/b1c3z2", "Synthesizer manuals")</f>
        <v>Synthesizer manuals</v>
      </c>
      <c r="D211" t="s">
        <v>332</v>
      </c>
    </row>
    <row r="212" spans="1:4" x14ac:dyDescent="0.2">
      <c r="A212" t="str">
        <f>HYPERLINK("https://b.goeswhere.com", "https://b.goeswhere.com")</f>
        <v>https://b.goeswhere.com</v>
      </c>
      <c r="B212" t="s">
        <v>5</v>
      </c>
      <c r="C212" t="str">
        <f t="shared" ref="C212:C238" si="9">HYPERLINK("https://www.reddit.com/r/opendirectories/comments/ape43b", "list of RE-POST's")</f>
        <v>list of RE-POST's</v>
      </c>
      <c r="D212" t="s">
        <v>396</v>
      </c>
    </row>
    <row r="213" spans="1:4" x14ac:dyDescent="0.2">
      <c r="A213" t="str">
        <f>HYPERLINK("https://blackstarkodi.com", "https://blackstarkodi.com")</f>
        <v>https://blackstarkodi.com</v>
      </c>
      <c r="B213" t="s">
        <v>5</v>
      </c>
      <c r="C213" t="str">
        <f t="shared" si="9"/>
        <v>list of RE-POST's</v>
      </c>
      <c r="D213" t="s">
        <v>396</v>
      </c>
    </row>
    <row r="214" spans="1:4" x14ac:dyDescent="0.2">
      <c r="A214" t="str">
        <f>HYPERLINK("https://cache.csrulez.ru", "https://cache.csrulez.ru")</f>
        <v>https://cache.csrulez.ru</v>
      </c>
      <c r="B214" t="s">
        <v>5</v>
      </c>
      <c r="C214" t="str">
        <f t="shared" si="9"/>
        <v>list of RE-POST's</v>
      </c>
      <c r="D214" t="s">
        <v>396</v>
      </c>
    </row>
    <row r="215" spans="1:4" x14ac:dyDescent="0.2">
      <c r="A215" t="str">
        <f>HYPERLINK("https://ch0c.com", "https://ch0c.com")</f>
        <v>https://ch0c.com</v>
      </c>
      <c r="B215" t="s">
        <v>5</v>
      </c>
      <c r="C215" t="str">
        <f t="shared" si="9"/>
        <v>list of RE-POST's</v>
      </c>
      <c r="D215" t="s">
        <v>396</v>
      </c>
    </row>
    <row r="216" spans="1:4" x14ac:dyDescent="0.2">
      <c r="A216" t="str">
        <f>HYPERLINK("https://cyberside.net.ee", "https://cyberside.net.ee")</f>
        <v>https://cyberside.net.ee</v>
      </c>
      <c r="B216" t="s">
        <v>5</v>
      </c>
      <c r="C216" t="str">
        <f t="shared" si="9"/>
        <v>list of RE-POST's</v>
      </c>
      <c r="D216" t="s">
        <v>396</v>
      </c>
    </row>
    <row r="217" spans="1:4" x14ac:dyDescent="0.2">
      <c r="A217" t="str">
        <f>HYPERLINK("https://dl.par30dl.com", "https://dl.par30dl.com")</f>
        <v>https://dl.par30dl.com</v>
      </c>
      <c r="B217" t="s">
        <v>5</v>
      </c>
      <c r="C217" t="str">
        <f t="shared" si="9"/>
        <v>list of RE-POST's</v>
      </c>
      <c r="D217" t="s">
        <v>396</v>
      </c>
    </row>
    <row r="218" spans="1:4" x14ac:dyDescent="0.2">
      <c r="A218" t="str">
        <f>HYPERLINK("https://download.nextcloud.com", "https://download.nextcloud.com")</f>
        <v>https://download.nextcloud.com</v>
      </c>
      <c r="B218" t="s">
        <v>5</v>
      </c>
      <c r="C218" t="str">
        <f t="shared" si="9"/>
        <v>list of RE-POST's</v>
      </c>
      <c r="D218" t="s">
        <v>396</v>
      </c>
    </row>
    <row r="219" spans="1:4" x14ac:dyDescent="0.2">
      <c r="A219" t="str">
        <f>HYPERLINK("https://download.videolan.org", "https://download.videolan.org")</f>
        <v>https://download.videolan.org</v>
      </c>
      <c r="B219" t="s">
        <v>5</v>
      </c>
      <c r="C219" t="str">
        <f t="shared" si="9"/>
        <v>list of RE-POST's</v>
      </c>
      <c r="D219" t="s">
        <v>396</v>
      </c>
    </row>
    <row r="220" spans="1:4" x14ac:dyDescent="0.2">
      <c r="A220" t="str">
        <f>HYPERLINK("https://ftp.belnet.be", "https://ftp.belnet.be")</f>
        <v>https://ftp.belnet.be</v>
      </c>
      <c r="B220" t="s">
        <v>5</v>
      </c>
      <c r="C220" t="str">
        <f t="shared" si="9"/>
        <v>list of RE-POST's</v>
      </c>
      <c r="D220" t="s">
        <v>396</v>
      </c>
    </row>
    <row r="221" spans="1:4" x14ac:dyDescent="0.2">
      <c r="A221" t="str">
        <f>HYPERLINK("https://ftp.dlink.ru", "https://ftp.dlink.ru")</f>
        <v>https://ftp.dlink.ru</v>
      </c>
      <c r="B221" t="s">
        <v>5</v>
      </c>
      <c r="C221" t="str">
        <f t="shared" si="9"/>
        <v>list of RE-POST's</v>
      </c>
      <c r="D221" t="s">
        <v>396</v>
      </c>
    </row>
    <row r="222" spans="1:4" x14ac:dyDescent="0.2">
      <c r="A222" t="str">
        <f>HYPERLINK("https://ftp.funet.fi", "https://ftp.funet.fi")</f>
        <v>https://ftp.funet.fi</v>
      </c>
      <c r="B222" t="s">
        <v>5</v>
      </c>
      <c r="C222" t="str">
        <f t="shared" si="9"/>
        <v>list of RE-POST's</v>
      </c>
      <c r="D222" t="s">
        <v>396</v>
      </c>
    </row>
    <row r="223" spans="1:4" x14ac:dyDescent="0.2">
      <c r="A223" t="str">
        <f>HYPERLINK("https://ftp.gnome.org", "https://ftp.gnome.org")</f>
        <v>https://ftp.gnome.org</v>
      </c>
      <c r="B223" t="s">
        <v>5</v>
      </c>
      <c r="C223" t="str">
        <f t="shared" si="9"/>
        <v>list of RE-POST's</v>
      </c>
      <c r="D223" t="s">
        <v>396</v>
      </c>
    </row>
    <row r="224" spans="1:4" x14ac:dyDescent="0.2">
      <c r="A224" t="str">
        <f>HYPERLINK("https://galactic.to", "https://galactic.to")</f>
        <v>https://galactic.to</v>
      </c>
      <c r="B224" t="s">
        <v>5</v>
      </c>
      <c r="C224" t="str">
        <f t="shared" si="9"/>
        <v>list of RE-POST's</v>
      </c>
      <c r="D224" t="s">
        <v>396</v>
      </c>
    </row>
    <row r="225" spans="1:5" x14ac:dyDescent="0.2">
      <c r="A225" t="str">
        <f>HYPERLINK("https://gmsh.info", "https://gmsh.info")</f>
        <v>https://gmsh.info</v>
      </c>
      <c r="B225" t="s">
        <v>5</v>
      </c>
      <c r="C225" t="str">
        <f t="shared" si="9"/>
        <v>list of RE-POST's</v>
      </c>
      <c r="D225" t="s">
        <v>396</v>
      </c>
    </row>
    <row r="226" spans="1:5" x14ac:dyDescent="0.2">
      <c r="A226" t="str">
        <f>HYPERLINK("https://img.cs.montana.edu", "https://img.cs.montana.edu")</f>
        <v>https://img.cs.montana.edu</v>
      </c>
      <c r="B226" t="s">
        <v>5</v>
      </c>
      <c r="C226" t="str">
        <f t="shared" si="9"/>
        <v>list of RE-POST's</v>
      </c>
      <c r="D226" t="s">
        <v>396</v>
      </c>
    </row>
    <row r="227" spans="1:5" x14ac:dyDescent="0.2">
      <c r="A227" t="str">
        <f>HYPERLINK("https://incoherency.co.uk", "https://incoherency.co.uk")</f>
        <v>https://incoherency.co.uk</v>
      </c>
      <c r="B227" t="s">
        <v>5</v>
      </c>
      <c r="C227" t="str">
        <f t="shared" si="9"/>
        <v>list of RE-POST's</v>
      </c>
      <c r="D227" t="s">
        <v>396</v>
      </c>
    </row>
    <row r="228" spans="1:5" x14ac:dyDescent="0.2">
      <c r="A228" t="str">
        <f>HYPERLINK("https://legacymediastreams.com", "https://legacymediastreams.com")</f>
        <v>https://legacymediastreams.com</v>
      </c>
      <c r="B228" t="s">
        <v>5</v>
      </c>
      <c r="C228" t="str">
        <f t="shared" si="9"/>
        <v>list of RE-POST's</v>
      </c>
      <c r="D228" t="s">
        <v>396</v>
      </c>
    </row>
    <row r="229" spans="1:5" x14ac:dyDescent="0.2">
      <c r="A229" t="str">
        <f>HYPERLINK("https://media.xiph.org", "https://media.xiph.org")</f>
        <v>https://media.xiph.org</v>
      </c>
      <c r="B229" t="s">
        <v>5</v>
      </c>
      <c r="C229" t="str">
        <f t="shared" si="9"/>
        <v>list of RE-POST's</v>
      </c>
      <c r="D229" t="s">
        <v>396</v>
      </c>
    </row>
    <row r="230" spans="1:5" x14ac:dyDescent="0.2">
      <c r="A230" t="str">
        <f>HYPERLINK("https://modland.com", "https://modland.com")</f>
        <v>https://modland.com</v>
      </c>
      <c r="B230" t="s">
        <v>5</v>
      </c>
      <c r="C230" t="str">
        <f t="shared" si="9"/>
        <v>list of RE-POST's</v>
      </c>
      <c r="D230" t="s">
        <v>396</v>
      </c>
    </row>
    <row r="231" spans="1:5" x14ac:dyDescent="0.2">
      <c r="A231" t="str">
        <f>HYPERLINK("https://pics.yougave.me", "https://pics.yougave.me")</f>
        <v>https://pics.yougave.me</v>
      </c>
      <c r="B231" t="s">
        <v>5</v>
      </c>
      <c r="C231" t="str">
        <f t="shared" si="9"/>
        <v>list of RE-POST's</v>
      </c>
      <c r="D231" t="s">
        <v>396</v>
      </c>
    </row>
    <row r="232" spans="1:5" x14ac:dyDescent="0.2">
      <c r="A232" t="str">
        <f>HYPERLINK("https://repo.steampowered.com", "https://repo.steampowered.com")</f>
        <v>https://repo.steampowered.com</v>
      </c>
      <c r="B232" t="s">
        <v>5</v>
      </c>
      <c r="C232" t="str">
        <f t="shared" si="9"/>
        <v>list of RE-POST's</v>
      </c>
      <c r="D232" t="s">
        <v>396</v>
      </c>
    </row>
    <row r="233" spans="1:5" x14ac:dyDescent="0.2">
      <c r="A233" t="str">
        <f>HYPERLINK("https://rootjunkysdl.com", "https://rootjunkysdl.com")</f>
        <v>https://rootjunkysdl.com</v>
      </c>
      <c r="B233" t="s">
        <v>5</v>
      </c>
      <c r="C233" t="str">
        <f t="shared" si="9"/>
        <v>list of RE-POST's</v>
      </c>
      <c r="D233" t="s">
        <v>396</v>
      </c>
    </row>
    <row r="234" spans="1:5" x14ac:dyDescent="0.2">
      <c r="A234" t="str">
        <f>HYPERLINK("https://www.bookofthedead.ws", "https://www.bookofthedead.ws")</f>
        <v>https://www.bookofthedead.ws</v>
      </c>
      <c r="B234" t="s">
        <v>5</v>
      </c>
      <c r="C234" t="str">
        <f t="shared" si="9"/>
        <v>list of RE-POST's</v>
      </c>
      <c r="D234" t="s">
        <v>396</v>
      </c>
    </row>
    <row r="235" spans="1:5" x14ac:dyDescent="0.2">
      <c r="A235" t="str">
        <f>HYPERLINK("https://www.danielpeart.net", "https://www.danielpeart.net")</f>
        <v>https://www.danielpeart.net</v>
      </c>
      <c r="B235" t="s">
        <v>5</v>
      </c>
      <c r="C235" t="str">
        <f t="shared" si="9"/>
        <v>list of RE-POST's</v>
      </c>
      <c r="D235" t="s">
        <v>396</v>
      </c>
    </row>
    <row r="236" spans="1:5" x14ac:dyDescent="0.2">
      <c r="A236" t="str">
        <f>HYPERLINK("https://www.gamers.org", "https://www.gamers.org")</f>
        <v>https://www.gamers.org</v>
      </c>
      <c r="B236" t="s">
        <v>5</v>
      </c>
      <c r="C236" t="str">
        <f t="shared" si="9"/>
        <v>list of RE-POST's</v>
      </c>
      <c r="D236" t="s">
        <v>396</v>
      </c>
    </row>
    <row r="237" spans="1:5" x14ac:dyDescent="0.2">
      <c r="A237" t="str">
        <f>HYPERLINK("https://www.vivagamers.com", "https://www.vivagamers.com")</f>
        <v>https://www.vivagamers.com</v>
      </c>
      <c r="B237" t="s">
        <v>5</v>
      </c>
      <c r="C237" t="str">
        <f t="shared" si="9"/>
        <v>list of RE-POST's</v>
      </c>
      <c r="D237" t="s">
        <v>396</v>
      </c>
    </row>
    <row r="238" spans="1:5" x14ac:dyDescent="0.2">
      <c r="A238" t="str">
        <f>HYPERLINK("https://www.xbmcmods.com", "https://www.xbmcmods.com")</f>
        <v>https://www.xbmcmods.com</v>
      </c>
      <c r="B238" t="s">
        <v>5</v>
      </c>
      <c r="C238" t="str">
        <f t="shared" si="9"/>
        <v>list of RE-POST's</v>
      </c>
      <c r="D238" t="s">
        <v>396</v>
      </c>
    </row>
    <row r="239" spans="1:5" x14ac:dyDescent="0.2">
      <c r="A239" t="str">
        <f>HYPERLINK("http://www.bitsavers.org/pdf", "http://www.bitsavers.org/pdf")</f>
        <v>http://www.bitsavers.org/pdf</v>
      </c>
      <c r="B239" t="s">
        <v>5</v>
      </c>
      <c r="C239" t="str">
        <f>HYPERLINK("https://www.reddit.com/r/opendirectories/comments/alutvn", "Collection of PDF Manuals and Schematics (BitSavers)")</f>
        <v>Collection of PDF Manuals and Schematics (BitSavers)</v>
      </c>
      <c r="D239" t="s">
        <v>619</v>
      </c>
    </row>
    <row r="240" spans="1:5" x14ac:dyDescent="0.2">
      <c r="A240" t="str">
        <f>HYPERLINK("http://sportsbil.com/other", "http://sportsbil.com/other")</f>
        <v>http://sportsbil.com/other</v>
      </c>
      <c r="B240" t="s">
        <v>5</v>
      </c>
      <c r="C240" t="str">
        <f>HYPERLINK("https://www.reddit.com/r/opendirectories/comments/ajdbxx", "Old tape recorder manuals, some in Japanese")</f>
        <v>Old tape recorder manuals, some in Japanese</v>
      </c>
      <c r="D240" t="s">
        <v>454</v>
      </c>
      <c r="E240" t="s">
        <v>63</v>
      </c>
    </row>
    <row r="241" spans="1:4" x14ac:dyDescent="0.2">
      <c r="A241" t="str">
        <f>HYPERLINK("http://www.wedophones.com/Manuals", "http://www.wedophones.com/Manuals")</f>
        <v>http://www.wedophones.com/Manuals</v>
      </c>
      <c r="B241" t="s">
        <v>5</v>
      </c>
      <c r="C241" t="str">
        <f>HYPERLINK("https://www.reddit.com/r/opendirectories/comments/4k71hl", "A bunch of really cool documentation on old technology. Some great cookbooks, camera manuals, arcade machine instructions, and some military documents.")</f>
        <v>A bunch of really cool documentation on old technology. Some great cookbooks, camera manuals, arcade machine instructions, and some military documents.</v>
      </c>
      <c r="D241" t="s">
        <v>620</v>
      </c>
    </row>
    <row r="242" spans="1:4" x14ac:dyDescent="0.2">
      <c r="A242" t="str">
        <f>HYPERLINK("http://kkoworld.com/kitablar", "http://kkoworld.com/kitablar")</f>
        <v>http://kkoworld.com/kitablar</v>
      </c>
      <c r="B242" t="s">
        <v>5</v>
      </c>
      <c r="C242" t="str">
        <f>HYPERLINK("https://www.reddit.com/r/opendirectories/comments/aguxqe", "Turkish Pdf's")</f>
        <v>Turkish Pdf's</v>
      </c>
      <c r="D242" t="s">
        <v>621</v>
      </c>
    </row>
    <row r="243" spans="1:4" x14ac:dyDescent="0.2">
      <c r="A243" t="str">
        <f>HYPERLINK("http://14.139.234.84/images/imt_forms", "http://14.139.234.84/images/imt_forms")</f>
        <v>http://14.139.234.84/images/imt_forms</v>
      </c>
      <c r="B243" t="s">
        <v>5</v>
      </c>
      <c r="C243" t="str">
        <f>HYPERLINK("https://www.reddit.com/r/opendirectories/comments/abosfq", "Documents from Computational Resources for Drug Discovery")</f>
        <v>Documents from Computational Resources for Drug Discovery</v>
      </c>
      <c r="D243" t="s">
        <v>303</v>
      </c>
    </row>
    <row r="244" spans="1:4" x14ac:dyDescent="0.2">
      <c r="A244" t="str">
        <f>HYPERLINK("https://datapacket.com", "https://datapacket.com")</f>
        <v>https://datapacket.com</v>
      </c>
      <c r="B244" t="s">
        <v>5</v>
      </c>
      <c r="C244" t="str">
        <f>HYPERLINK("https://www.reddit.com/r/opendirectories/comments/92fnzh", "Revamped Fusker System - View Open Directory Images @ The-Eye")</f>
        <v>Revamped Fusker System - View Open Directory Images @ The-Eye</v>
      </c>
      <c r="D244" t="s">
        <v>161</v>
      </c>
    </row>
    <row r="245" spans="1:4" x14ac:dyDescent="0.2">
      <c r="A245" t="str">
        <f>HYPERLINK("http://mediaset.sdasofia.org/MEDIA%20SET/index.php", "http://mediaset.sdasofia.org/MEDIA%20SET/index.php")</f>
        <v>http://mediaset.sdasofia.org/MEDIA%20SET/index.php</v>
      </c>
      <c r="B245" t="s">
        <v>5</v>
      </c>
      <c r="C245" t="str">
        <f>HYPERLINK("https://www.reddit.com/r/opendirectories/comments/9rj7h1", "Classical Music, Religious Music, Christmas Music, bible_atlas.pdf, _second koming.ppt")</f>
        <v>Classical Music, Religious Music, Christmas Music, bible_atlas.pdf, _second koming.ppt</v>
      </c>
      <c r="D245" t="s">
        <v>344</v>
      </c>
    </row>
    <row r="246" spans="1:4" x14ac:dyDescent="0.2">
      <c r="A246" t="str">
        <f>HYPERLINK("https://info.stylee32.net", "https://info.stylee32.net")</f>
        <v>https://info.stylee32.net</v>
      </c>
      <c r="B246" t="s">
        <v>5</v>
      </c>
      <c r="C246" t="str">
        <f>HYPERLINK("https://www.reddit.com/r/opendirectories/comments/6xp5wl", "NSFW: Tons of pics including cam girls, lots of other random SFW in parent dirs.")</f>
        <v>NSFW: Tons of pics including cam girls, lots of other random SFW in parent dirs.</v>
      </c>
      <c r="D246" t="s">
        <v>622</v>
      </c>
    </row>
    <row r="247" spans="1:4" x14ac:dyDescent="0.2">
      <c r="A247" t="str">
        <f>HYPERLINK("http://www.historyisaweapon.com/defcon7", "http://www.historyisaweapon.com/defcon7")</f>
        <v>http://www.historyisaweapon.com/defcon7</v>
      </c>
      <c r="B247" t="s">
        <v>5</v>
      </c>
      <c r="C247" t="str">
        <f>HYPERLINK("https://www.reddit.com/r/opendirectories/comments/9bes8d", "Just found a directory of pdfs, mostly relating to history.")</f>
        <v>Just found a directory of pdfs, mostly relating to history.</v>
      </c>
      <c r="D247" t="s">
        <v>623</v>
      </c>
    </row>
    <row r="248" spans="1:4" x14ac:dyDescent="0.2">
      <c r="A248" t="str">
        <f>HYPERLINK("http://www.4newmum.com/pdf", "http://www.4newmum.com/pdf")</f>
        <v>http://www.4newmum.com/pdf</v>
      </c>
      <c r="B248" t="s">
        <v>5</v>
      </c>
      <c r="C248" t="str">
        <f>HYPERLINK("https://www.reddit.com/r/opendirectories/comments/8qespv", "Children's Books (PDF)")</f>
        <v>Children's Books (PDF)</v>
      </c>
      <c r="D248" t="s">
        <v>624</v>
      </c>
    </row>
    <row r="249" spans="1:4" x14ac:dyDescent="0.2">
      <c r="A249" t="str">
        <f>HYPERLINK("http://www.hungry-ewok.ru/sw", "http://www.hungry-ewok.ru/sw")</f>
        <v>http://www.hungry-ewok.ru/sw</v>
      </c>
      <c r="B249" t="s">
        <v>5</v>
      </c>
      <c r="C249" t="str">
        <f>HYPERLINK("https://www.reddit.com/r/opendirectories/comments/8lxzhj", "Very Large collection of Star Wars Books-Short Stories-Novels-Roleplaying- More in the epub directory")</f>
        <v>Very Large collection of Star Wars Books-Short Stories-Novels-Roleplaying- More in the epub directory</v>
      </c>
      <c r="D249" t="s">
        <v>625</v>
      </c>
    </row>
    <row r="250" spans="1:4" x14ac:dyDescent="0.2">
      <c r="A250" t="str">
        <f>HYPERLINK("http://dl.nux.ro", "http://dl.nux.ro")</f>
        <v>http://dl.nux.ro</v>
      </c>
      <c r="B250" t="s">
        <v>5</v>
      </c>
      <c r="C250" t="str">
        <f>HYPERLINK("https://www.reddit.com/r/opendirectories/comments/86d5lq", "Some interesting docs, really :-)")</f>
        <v>Some interesting docs, really :-)</v>
      </c>
      <c r="D250" t="s">
        <v>626</v>
      </c>
    </row>
    <row r="251" spans="1:4" x14ac:dyDescent="0.2">
      <c r="A251" t="str">
        <f>HYPERLINK("https://10gbps.io", "https://10gbps.io")</f>
        <v>https://10gbps.io</v>
      </c>
      <c r="B251" t="s">
        <v>5</v>
      </c>
      <c r="C251" t="str">
        <f>HYPERLINK("https://www.reddit.com/r/opendirectories/comments/7gs0f2", "Google Index Search Engine @ The-Eye")</f>
        <v>Google Index Search Engine @ The-Eye</v>
      </c>
      <c r="D251" t="s">
        <v>346</v>
      </c>
    </row>
    <row r="252" spans="1:4" x14ac:dyDescent="0.2">
      <c r="A252" t="str">
        <f>HYPERLINK("http://www.classiccmp.org/cini/pdf", "http://www.classiccmp.org/cini/pdf")</f>
        <v>http://www.classiccmp.org/cini/pdf</v>
      </c>
      <c r="B252" t="s">
        <v>5</v>
      </c>
      <c r="C252" t="str">
        <f>HYPERLINK("https://www.reddit.com/r/opendirectories/comments/7lskac", "[BOOKS] MICRO Magazine - Volumes 01-76 (1977-1984) (PDF Scans)")</f>
        <v>[BOOKS] MICRO Magazine - Volumes 01-76 (1977-1984) (PDF Scans)</v>
      </c>
      <c r="D252" t="s">
        <v>627</v>
      </c>
    </row>
    <row r="253" spans="1:4" x14ac:dyDescent="0.2">
      <c r="A253" t="str">
        <f>HYPERLINK("http://www.classiccmp.org/cpmarchives", "http://www.classiccmp.org/cpmarchives")</f>
        <v>http://www.classiccmp.org/cpmarchives</v>
      </c>
      <c r="B253" t="s">
        <v>5</v>
      </c>
      <c r="C253" t="str">
        <f>HYPERLINK("https://www.reddit.com/r/opendirectories/comments/7lihbq", "[BOOKS] An Archive of TRS-80 Computer Books, Magazines &amp;amp; Manuals (1970s-1980s)")</f>
        <v>[BOOKS] An Archive of TRS-80 Computer Books, Magazines &amp;amp; Manuals (1970s-1980s)</v>
      </c>
      <c r="D253" t="s">
        <v>349</v>
      </c>
    </row>
    <row r="254" spans="1:4" x14ac:dyDescent="0.2">
      <c r="A254" t="str">
        <f>HYPERLINK("http://www.qsl.net/w/w7lk//misc%20pdf%20files", "http://www.qsl.net/w/w7lk//misc%20pdf%20files")</f>
        <v>http://www.qsl.net/w/w7lk//misc%20pdf%20files</v>
      </c>
      <c r="B254" t="s">
        <v>5</v>
      </c>
      <c r="C254" t="str">
        <f>HYPERLINK("https://www.reddit.com/r/opendirectories/comments/76rwht", "Antenna, ham radio &amp;amp; shitload of other misc how-to's in pdf")</f>
        <v>Antenna, ham radio &amp;amp; shitload of other misc how-to's in pdf</v>
      </c>
      <c r="D254" t="s">
        <v>506</v>
      </c>
    </row>
    <row r="255" spans="1:4" x14ac:dyDescent="0.2">
      <c r="A255" t="str">
        <f>HYPERLINK("http://www.qsl.net/w7lk/misc%20pdf%20files", "http://www.qsl.net/w7lk/misc%20pdf%20files")</f>
        <v>http://www.qsl.net/w7lk/misc%20pdf%20files</v>
      </c>
      <c r="B255" t="s">
        <v>5</v>
      </c>
      <c r="C255" t="str">
        <f>HYPERLINK("https://www.reddit.com/r/opendirectories/comments/76pom4", "About 50 or so Instructables.com pdf files")</f>
        <v>About 50 or so Instructables.com pdf files</v>
      </c>
      <c r="D255" t="s">
        <v>506</v>
      </c>
    </row>
    <row r="256" spans="1:4" x14ac:dyDescent="0.2">
      <c r="A256" t="str">
        <f>HYPERLINK("http://members.iinet.com.au/~stepho", "http://members.iinet.com.au/~stepho")</f>
        <v>http://members.iinet.com.au/~stepho</v>
      </c>
      <c r="B256" t="s">
        <v>5</v>
      </c>
      <c r="C256" t="str">
        <f>HYPERLINK("https://www.reddit.com/r/opendirectories/comments/6a8lk9", "Toyota docs")</f>
        <v>Toyota docs</v>
      </c>
      <c r="D256" t="s">
        <v>426</v>
      </c>
    </row>
    <row r="257" spans="1:5" x14ac:dyDescent="0.2">
      <c r="A257" t="str">
        <f>HYPERLINK("http://arcarc.xmission.com", "http://arcarc.xmission.com")</f>
        <v>http://arcarc.xmission.com</v>
      </c>
      <c r="B257" t="s">
        <v>5</v>
      </c>
      <c r="C257" t="str">
        <f>HYPERLINK("https://www.reddit.com/r/opendirectories/comments/2pjeyo", "Very Large Arcade Manual Listing")</f>
        <v>Very Large Arcade Manual Listing</v>
      </c>
      <c r="D257" t="s">
        <v>628</v>
      </c>
    </row>
    <row r="258" spans="1:5" x14ac:dyDescent="0.2">
      <c r="A258" t="str">
        <f>HYPERLINK("http://bitsavers.informatik.uni-stuttgart.de/pdf", "http://bitsavers.informatik.uni-stuttgart.de/pdf")</f>
        <v>http://bitsavers.informatik.uni-stuttgart.de/pdf</v>
      </c>
      <c r="B258" t="s">
        <v>5</v>
      </c>
      <c r="C258" t="str">
        <f>HYPERLINK("https://www.reddit.com/r/opendirectories/comments/60ws5m", "Collection of PDFs from a large number of computer companies - manuals, whitepapers, schematics, etc.")</f>
        <v>Collection of PDFs from a large number of computer companies - manuals, whitepapers, schematics, etc.</v>
      </c>
      <c r="D258" t="s">
        <v>321</v>
      </c>
    </row>
    <row r="259" spans="1:5" x14ac:dyDescent="0.2">
      <c r="A259" t="str">
        <f>HYPERLINK("http://documents.theblackvault.com/documents/mkultra", "http://documents.theblackvault.com/documents/mkultra")</f>
        <v>http://documents.theblackvault.com/documents/mkultra</v>
      </c>
      <c r="B259" t="s">
        <v>5</v>
      </c>
      <c r="C259" t="str">
        <f>HYPERLINK("https://www.reddit.com/r/opendirectories/comments/5yptod", "Real? Fake? Some documents allegedly from MKULTRA")</f>
        <v>Real? Fake? Some documents allegedly from MKULTRA</v>
      </c>
      <c r="D259" t="s">
        <v>629</v>
      </c>
    </row>
    <row r="260" spans="1:5" x14ac:dyDescent="0.2">
      <c r="A260" t="str">
        <f>HYPERLINK("http://s5.bitdownload.ir", "http://s5.bitdownload.ir")</f>
        <v>http://s5.bitdownload.ir</v>
      </c>
      <c r="B260" t="s">
        <v>5</v>
      </c>
      <c r="C260" t="str">
        <f>HYPERLINK("https://www.reddit.com/r/opendirectories/comments/5x5f5u", "Some docs and the usual stuff in PD")</f>
        <v>Some docs and the usual stuff in PD</v>
      </c>
      <c r="D260" t="s">
        <v>630</v>
      </c>
    </row>
    <row r="261" spans="1:5" x14ac:dyDescent="0.2">
      <c r="A261" t="str">
        <f>HYPERLINK("http://bitsavers.trailing-edge.com/pdf", "http://bitsavers.trailing-edge.com/pdf")</f>
        <v>http://bitsavers.trailing-edge.com/pdf</v>
      </c>
      <c r="B261" t="s">
        <v>5</v>
      </c>
      <c r="C261" t="str">
        <f>HYPERLINK("https://www.reddit.com/r/opendirectories/comments/5tsl85", "Archive of PDFs of computer technical documentations and books from the late 60s - mid 90s.")</f>
        <v>Archive of PDFs of computer technical documentations and books from the late 60s - mid 90s.</v>
      </c>
      <c r="D261" t="s">
        <v>631</v>
      </c>
    </row>
    <row r="262" spans="1:5" x14ac:dyDescent="0.2">
      <c r="A262" t="str">
        <f>HYPERLINK("http://www.qsl.net/y/yo4tnv//docs", "http://www.qsl.net/y/yo4tnv//docs")</f>
        <v>http://www.qsl.net/y/yo4tnv//docs</v>
      </c>
      <c r="B262" t="s">
        <v>5</v>
      </c>
      <c r="C262" t="str">
        <f>HYPERLINK("https://www.reddit.com/r/opendirectories/comments/5ch4oq", "Books and pdfs of computer related stuff-security")</f>
        <v>Books and pdfs of computer related stuff-security</v>
      </c>
      <c r="D262" t="s">
        <v>632</v>
      </c>
    </row>
    <row r="263" spans="1:5" x14ac:dyDescent="0.2">
      <c r="A263" t="str">
        <f>HYPERLINK("http://www.learnmagictricks.org/ebook", "http://www.learnmagictricks.org/ebook")</f>
        <v>http://www.learnmagictricks.org/ebook</v>
      </c>
      <c r="B263" t="s">
        <v>5</v>
      </c>
      <c r="C263" t="str">
        <f>HYPERLINK("https://www.reddit.com/r/opendirectories/comments/5aywhg", "For anyone wanting to learn 'Magic' (PDF)")</f>
        <v>For anyone wanting to learn 'Magic' (PDF)</v>
      </c>
      <c r="D263" t="s">
        <v>633</v>
      </c>
    </row>
    <row r="264" spans="1:5" x14ac:dyDescent="0.2">
      <c r="A264" t="str">
        <f>HYPERLINK("http://www.goalsys.com", "http://www.goalsys.com")</f>
        <v>http://www.goalsys.com</v>
      </c>
      <c r="B264" t="s">
        <v>5</v>
      </c>
      <c r="C264" t="str">
        <f>HYPERLINK("https://www.reddit.com/r/opendirectories/comments/52q0o7", "Various 'systems thinking' white papers")</f>
        <v>Various 'systems thinking' white papers</v>
      </c>
      <c r="D264" t="s">
        <v>634</v>
      </c>
    </row>
    <row r="265" spans="1:5" x14ac:dyDescent="0.2">
      <c r="A265" t="str">
        <f>HYPERLINK("http://piketty.pse.ens.fr/files", "http://piketty.pse.ens.fr/files")</f>
        <v>http://piketty.pse.ens.fr/files</v>
      </c>
      <c r="B265" t="s">
        <v>5</v>
      </c>
      <c r="C265" t="str">
        <f>HYPERLINK("https://www.reddit.com/r/opendirectories/comments/4z2zxv", "Stuff about Piketty (French Economist) in PDF")</f>
        <v>Stuff about Piketty (French Economist) in PDF</v>
      </c>
      <c r="D265" t="s">
        <v>635</v>
      </c>
      <c r="E265" t="s">
        <v>51</v>
      </c>
    </row>
    <row r="266" spans="1:5" x14ac:dyDescent="0.2">
      <c r="A266" t="str">
        <f>HYPERLINK("http://documents.theblackvault.com/documents/nsa", "http://documents.theblackvault.com/documents/nsa")</f>
        <v>http://documents.theblackvault.com/documents/nsa</v>
      </c>
      <c r="B266" t="s">
        <v>5</v>
      </c>
      <c r="C266" t="str">
        <f>HYPERLINK("https://www.reddit.com/r/opendirectories/comments/4nq0j1", "NSA Documents from the blackvault")</f>
        <v>NSA Documents from the blackvault</v>
      </c>
      <c r="D266" t="s">
        <v>636</v>
      </c>
    </row>
    <row r="267" spans="1:5" x14ac:dyDescent="0.2">
      <c r="A267" t="str">
        <f>HYPERLINK("http://www.autistici.org/sitosovversivo", "http://www.autistici.org/sitosovversivo")</f>
        <v>http://www.autistici.org/sitosovversivo</v>
      </c>
      <c r="B267" t="s">
        <v>5</v>
      </c>
      <c r="C267" t="str">
        <f>HYPERLINK("https://www.reddit.com/r/opendirectories/comments/4f49m3", "Nikola Tesla patents and designs pdfs")</f>
        <v>Nikola Tesla patents and designs pdfs</v>
      </c>
      <c r="D267" t="s">
        <v>637</v>
      </c>
    </row>
    <row r="268" spans="1:5" x14ac:dyDescent="0.2">
      <c r="A268" t="str">
        <f>HYPERLINK("http://www.dhammatalks.net", "http://www.dhammatalks.net")</f>
        <v>http://www.dhammatalks.net</v>
      </c>
      <c r="B268" t="s">
        <v>5</v>
      </c>
      <c r="C268" t="str">
        <f>HYPERLINK("https://www.reddit.com/r/opendirectories/comments/4dsij3", "Some Buddhist literature in mobi and epub format")</f>
        <v>Some Buddhist literature in mobi and epub format</v>
      </c>
      <c r="D268" t="s">
        <v>638</v>
      </c>
    </row>
    <row r="269" spans="1:5" x14ac:dyDescent="0.2">
      <c r="A269" t="str">
        <f>HYPERLINK("http://beq.ebooksgratuits.com/vents-epub", "http://beq.ebooksgratuits.com/vents-epub")</f>
        <v>http://beq.ebooksgratuits.com/vents-epub</v>
      </c>
      <c r="B269" t="s">
        <v>5</v>
      </c>
      <c r="C269" t="str">
        <f>HYPERLINK("https://www.reddit.com/r/opendirectories/comments/4dqg2c", "Epubs in french. Mostly classics")</f>
        <v>Epubs in french. Mostly classics</v>
      </c>
      <c r="D269" t="s">
        <v>638</v>
      </c>
      <c r="E269" t="s">
        <v>51</v>
      </c>
    </row>
    <row r="270" spans="1:5" x14ac:dyDescent="0.2">
      <c r="A270" t="str">
        <f>HYPERLINK("http://infomotions.com", "http://infomotions.com")</f>
        <v>http://infomotions.com</v>
      </c>
      <c r="B270" t="s">
        <v>5</v>
      </c>
      <c r="C270" t="str">
        <f>HYPERLINK("https://www.reddit.com/r/opendirectories/comments/4b4e3b", "Some Html and Epub books. Also contains other stuff higher up.")</f>
        <v>Some Html and Epub books. Also contains other stuff higher up.</v>
      </c>
      <c r="D270" t="s">
        <v>639</v>
      </c>
    </row>
    <row r="271" spans="1:5" x14ac:dyDescent="0.2">
      <c r="A271" t="str">
        <f>HYPERLINK("http://sheets-piano.ru/wp-content/uploads", "http://sheets-piano.ru/wp-content/uploads")</f>
        <v>http://sheets-piano.ru/wp-content/uploads</v>
      </c>
      <c r="B271" t="s">
        <v>5</v>
      </c>
      <c r="C271" t="str">
        <f>HYPERLINK("https://www.reddit.com/r/opendirectories/comments/4275bo", "Sheet music for all tastes, in English, Russian, and more. (PDF)")</f>
        <v>Sheet music for all tastes, in English, Russian, and more. (PDF)</v>
      </c>
      <c r="D271" t="s">
        <v>568</v>
      </c>
      <c r="E271" t="s">
        <v>156</v>
      </c>
    </row>
    <row r="272" spans="1:5" x14ac:dyDescent="0.2">
      <c r="A272" t="str">
        <f>HYPERLINK("http://www.atech-software.com/fan-fiction", "http://www.atech-software.com/fan-fiction")</f>
        <v>http://www.atech-software.com/fan-fiction</v>
      </c>
      <c r="B272" t="s">
        <v>5</v>
      </c>
      <c r="C272" t="str">
        <f>HYPERLINK("https://www.reddit.com/r/opendirectories/comments/3v44tz", "A small collection (but LOTS from the few topics) of stories and documents from FanFiction.net")</f>
        <v>A small collection (but LOTS from the few topics) of stories and documents from FanFiction.net</v>
      </c>
      <c r="D272" t="s">
        <v>640</v>
      </c>
    </row>
    <row r="273" spans="1:5" x14ac:dyDescent="0.2">
      <c r="A273" t="str">
        <f>HYPERLINK("http://www.thesmartbuilder.net/ProcessModel-SmithDouglas", "http://www.thesmartbuilder.net/ProcessModel-SmithDouglas")</f>
        <v>http://www.thesmartbuilder.net/ProcessModel-SmithDouglas</v>
      </c>
      <c r="B273" t="s">
        <v>5</v>
      </c>
      <c r="C273" t="str">
        <f>HYPERLINK("https://www.reddit.com/r/opendirectories/comments/3tekqp", "Smith Douglas Homes (The Smart Builder) - lots of PDFs (plans, sales, marketing, etc)")</f>
        <v>Smith Douglas Homes (The Smart Builder) - lots of PDFs (plans, sales, marketing, etc)</v>
      </c>
      <c r="D273" t="s">
        <v>235</v>
      </c>
    </row>
    <row r="274" spans="1:5" x14ac:dyDescent="0.2">
      <c r="A274" t="str">
        <f>HYPERLINK("https://www.alleghenycourts.us/downloads", "https://www.alleghenycourts.us/downloads")</f>
        <v>https://www.alleghenycourts.us/downloads</v>
      </c>
      <c r="B274" t="s">
        <v>5</v>
      </c>
      <c r="C274" t="str">
        <f>HYPERLINK("https://www.reddit.com/r/opendirectories/comments/3tej4l", "Allegheny County (Pittsburgh, Pennsylvania) - 5th Judicial District Court dumpsite (forms, guides, PDFs, etc)")</f>
        <v>Allegheny County (Pittsburgh, Pennsylvania) - 5th Judicial District Court dumpsite (forms, guides, PDFs, etc)</v>
      </c>
      <c r="D274" t="s">
        <v>235</v>
      </c>
    </row>
    <row r="275" spans="1:5" x14ac:dyDescent="0.2">
      <c r="A275" t="str">
        <f>HYPERLINK("http://ftp.onem2m.org", "http://ftp.onem2m.org")</f>
        <v>http://ftp.onem2m.org</v>
      </c>
      <c r="B275" t="s">
        <v>5</v>
      </c>
      <c r="C275" t="str">
        <f>HYPERLINK("https://www.reddit.com/r/opendirectories/comments/3tehzz", "oneM2M (automation company) - dumpsite. Lots of documents, marketing materials, deliverables, company leads, etc.)")</f>
        <v>oneM2M (automation company) - dumpsite. Lots of documents, marketing materials, deliverables, company leads, etc.)</v>
      </c>
      <c r="D275" t="s">
        <v>235</v>
      </c>
    </row>
    <row r="276" spans="1:5" x14ac:dyDescent="0.2">
      <c r="A276" t="str">
        <f>HYPERLINK("http://www.epi.msu.edu/janthony", "http://www.epi.msu.edu/janthony")</f>
        <v>http://www.epi.msu.edu/janthony</v>
      </c>
      <c r="B276" t="s">
        <v>5</v>
      </c>
      <c r="C276" t="str">
        <f>HYPERLINK("https://www.reddit.com/r/opendirectories/comments/3tegrg", "Michigan State University (MSU) - Epidemiologist's dumpsite (mainly docs and studies)")</f>
        <v>Michigan State University (MSU) - Epidemiologist's dumpsite (mainly docs and studies)</v>
      </c>
      <c r="D276" t="s">
        <v>235</v>
      </c>
    </row>
    <row r="277" spans="1:5" x14ac:dyDescent="0.2">
      <c r="A277" t="str">
        <f>HYPERLINK("http://www.policeprostitutionandpolitics.com/pdfs_all", "http://www.policeprostitutionandpolitics.com/pdfs_all")</f>
        <v>http://www.policeprostitutionandpolitics.com/pdfs_all</v>
      </c>
      <c r="B277" t="s">
        <v>5</v>
      </c>
      <c r="C277" t="str">
        <f>HYPERLINK("https://www.reddit.com/r/opendirectories/comments/3tctih", "[NSFW] PDF archive of articles related to police and sexual violence.")</f>
        <v>[NSFW] PDF archive of articles related to police and sexual violence.</v>
      </c>
      <c r="D277" t="s">
        <v>236</v>
      </c>
    </row>
    <row r="278" spans="1:5" x14ac:dyDescent="0.2">
      <c r="A278" t="str">
        <f>HYPERLINK("http://library.lindenwood.edu/archives", "http://library.lindenwood.edu/archives")</f>
        <v>http://library.lindenwood.edu/archives</v>
      </c>
      <c r="B278" t="s">
        <v>5</v>
      </c>
      <c r="C278" t="str">
        <f>HYPERLINK("https://www.reddit.com/r/opendirectories/comments/3t9s28", "Lindenwood Butler Library (MI) - TONS of digital archived data (new and old pictures, publications, documents, recordings, etc. Lots of stuff from the 1800's!)")</f>
        <v>Lindenwood Butler Library (MI) - TONS of digital archived data (new and old pictures, publications, documents, recordings, etc. Lots of stuff from the 1800's!)</v>
      </c>
      <c r="D278" t="s">
        <v>236</v>
      </c>
    </row>
    <row r="279" spans="1:5" x14ac:dyDescent="0.2">
      <c r="A279" t="str">
        <f>HYPERLINK("http://ridl.cfd.rit.edu", "http://ridl.cfd.rit.edu")</f>
        <v>http://ridl.cfd.rit.edu</v>
      </c>
      <c r="B279" t="s">
        <v>5</v>
      </c>
      <c r="C279" t="str">
        <f>HYPERLINK("https://www.reddit.com/r/opendirectories/comments/3t9otx", "Rochester Institute of Technology (Center for Detectors) - Pictures, manuals, observations, projects, etc")</f>
        <v>Rochester Institute of Technology (Center for Detectors) - Pictures, manuals, observations, projects, etc</v>
      </c>
      <c r="D279" t="s">
        <v>236</v>
      </c>
    </row>
    <row r="280" spans="1:5" x14ac:dyDescent="0.2">
      <c r="A280" t="str">
        <f>HYPERLINK("http://rmccurdy.com", "http://rmccurdy.com")</f>
        <v>http://rmccurdy.com</v>
      </c>
      <c r="B280" t="s">
        <v>5</v>
      </c>
      <c r="C280" t="str">
        <f>HYPERLINK("https://www.reddit.com/r/opendirectories/comments/3m5a68", "hack stuff, defcon PDFS,Scripts,bots etc")</f>
        <v>hack stuff, defcon PDFS,Scripts,bots etc</v>
      </c>
      <c r="D280" t="s">
        <v>641</v>
      </c>
    </row>
    <row r="281" spans="1:5" x14ac:dyDescent="0.2">
      <c r="A281" t="str">
        <f>HYPERLINK("http://ranger.befunk.com", "http://ranger.befunk.com")</f>
        <v>http://ranger.befunk.com</v>
      </c>
      <c r="B281" t="s">
        <v>5</v>
      </c>
      <c r="C281" t="str">
        <f>HYPERLINK("https://www.reddit.com/r/opendirectories/comments/3lm4gy", "/u/wearehidden's directory dump (with more organization / info)")</f>
        <v>/u/wearehidden's directory dump (with more organization / info)</v>
      </c>
      <c r="D281" t="s">
        <v>358</v>
      </c>
      <c r="E281" t="s">
        <v>359</v>
      </c>
    </row>
    <row r="282" spans="1:5" x14ac:dyDescent="0.2">
      <c r="A282" t="str">
        <f>HYPERLINK("http://www.defacto2.net", "http://www.defacto2.net")</f>
        <v>http://www.defacto2.net</v>
      </c>
      <c r="B282" t="s">
        <v>5</v>
      </c>
      <c r="C282" t="str">
        <f>HYPERLINK("https://www.reddit.com/r/opendirectories/comments/2ol0ts", "What are some tools to view videos/mp3/pdf files present in open directories before downloading?")</f>
        <v>What are some tools to view videos/mp3/pdf files present in open directories before downloading?</v>
      </c>
      <c r="D282" t="s">
        <v>360</v>
      </c>
      <c r="E282" t="s">
        <v>14</v>
      </c>
    </row>
    <row r="283" spans="1:5" x14ac:dyDescent="0.2">
      <c r="A283" t="str">
        <f>HYPERLINK("http://www.americangamesinc.com/files/equipment", "http://www.americangamesinc.com/files/equipment")</f>
        <v>http://www.americangamesinc.com/files/equipment</v>
      </c>
      <c r="B283" t="s">
        <v>5</v>
      </c>
      <c r="C283" t="str">
        <f>HYPERLINK("https://www.reddit.com/r/opendirectories/comments/2ij0hp", "Vending Machine Manuals Do with these as you wish ;)")</f>
        <v>Vending Machine Manuals Do with these as you wish ;)</v>
      </c>
      <c r="D283" t="s">
        <v>642</v>
      </c>
    </row>
    <row r="284" spans="1:5" x14ac:dyDescent="0.2">
      <c r="A284" t="str">
        <f>HYPERLINK("http://stuff.mit.edu", "http://stuff.mit.edu")</f>
        <v>http://stuff.mit.edu</v>
      </c>
      <c r="B284" t="s">
        <v>5</v>
      </c>
      <c r="C284" t="str">
        <f>HYPERLINK("https://www.reddit.com/r/opendirectories/comments/addbb", "MIT user documents")</f>
        <v>MIT user documents</v>
      </c>
      <c r="D284" t="s">
        <v>643</v>
      </c>
    </row>
  </sheetData>
  <pageMargins left="0.75" right="0.75" top="1" bottom="1" header="0.511811023622047" footer="0.511811023622047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24"/>
  <sheetViews>
    <sheetView zoomScaleNormal="100" workbookViewId="0"/>
  </sheetViews>
  <sheetFormatPr baseColWidth="10" defaultColWidth="8.83203125" defaultRowHeight="15" x14ac:dyDescent="0.2"/>
  <cols>
    <col min="1" max="1" width="50" customWidth="1"/>
    <col min="3" max="3" width="80" customWidth="1"/>
    <col min="4" max="4" width="11" customWidth="1"/>
    <col min="5" max="5" width="80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tr">
        <f>HYPERLINK("http://www.fricking.ninja", "http://www.fricking.ninja")</f>
        <v>http://www.fricking.ninja</v>
      </c>
      <c r="B2" t="s">
        <v>5</v>
      </c>
      <c r="C2" t="str">
        <f>HYPERLINK("https://www.reddit.com/r/opendirectories/comments/ou6aip", "Tons of Ebooks, lifehacks, &amp;amp; tutorials")</f>
        <v>Tons of Ebooks, lifehacks, &amp;amp; tutorials</v>
      </c>
      <c r="D2" t="s">
        <v>20</v>
      </c>
    </row>
    <row r="3" spans="1:5" x14ac:dyDescent="0.2">
      <c r="A3" t="str">
        <f>HYPERLINK("http://open.m4trade.ru", "http://open.m4trade.ru")</f>
        <v>http://open.m4trade.ru</v>
      </c>
      <c r="B3" t="s">
        <v>5</v>
      </c>
      <c r="C3" t="str">
        <f>HYPERLINK("https://www.reddit.com/r/opendirectories/comments/ph5thp", "movies/music/ebooks/audiobooks (some English, some Russian)")</f>
        <v>movies/music/ebooks/audiobooks (some English, some Russian)</v>
      </c>
      <c r="D3" t="s">
        <v>363</v>
      </c>
      <c r="E3" t="s">
        <v>156</v>
      </c>
    </row>
    <row r="4" spans="1:5" x14ac:dyDescent="0.2">
      <c r="A4" t="str">
        <f>HYPERLINK("http://144.217.177.36:4742", "http://144.217.177.36:4742")</f>
        <v>http://144.217.177.36:4742</v>
      </c>
      <c r="B4" t="s">
        <v>5</v>
      </c>
      <c r="C4" t="str">
        <f>HYPERLINK("https://www.reddit.com/r/opendirectories/comments/kwctmn", "Movies/TV/Anime/Apps/Audiobooks/Ebooks/Games/Movies/Music -- Something for everyone!!")</f>
        <v>Movies/TV/Anime/Apps/Audiobooks/Ebooks/Games/Movies/Music -- Something for everyone!!</v>
      </c>
      <c r="D4" t="s">
        <v>365</v>
      </c>
    </row>
    <row r="5" spans="1:5" x14ac:dyDescent="0.2">
      <c r="A5" t="str">
        <f>HYPERLINK("https://www.yukiko.org/manga", "https://www.yukiko.org/manga")</f>
        <v>https://www.yukiko.org/manga</v>
      </c>
      <c r="B5" t="s">
        <v>5</v>
      </c>
      <c r="C5" t="str">
        <f>HYPERLINK("https://www.reddit.com/r/opendirectories/comments/p6fok9", "Japanese Comic Books")</f>
        <v>Japanese Comic Books</v>
      </c>
      <c r="D5" t="s">
        <v>15</v>
      </c>
      <c r="E5" t="s">
        <v>63</v>
      </c>
    </row>
    <row r="6" spans="1:5" x14ac:dyDescent="0.2">
      <c r="A6" t="str">
        <f>HYPERLINK("http://imsolost.com", "http://imsolost.com")</f>
        <v>http://imsolost.com</v>
      </c>
      <c r="B6" t="s">
        <v>5</v>
      </c>
      <c r="C6" t="str">
        <f>HYPERLINK("https://www.reddit.com/r/opendirectories/comments/p3gjhf", "____ For Dummies. Around 550 books from the For Dummies Series")</f>
        <v>____ For Dummies. Around 550 books from the For Dummies Series</v>
      </c>
      <c r="D6" t="s">
        <v>440</v>
      </c>
    </row>
    <row r="7" spans="1:5" x14ac:dyDescent="0.2">
      <c r="A7" t="str">
        <f>HYPERLINK("https://manual.calibre-ebook.com", "https://manual.calibre-ebook.com")</f>
        <v>https://manual.calibre-ebook.com</v>
      </c>
      <c r="B7" t="s">
        <v>5</v>
      </c>
      <c r="C7" t="str">
        <f>HYPERLINK("https://www.reddit.com/r/opendirectories/comments/n710jf", "CALISHOT 2021-05: Find ebooks among 416 Calibre sites")</f>
        <v>CALISHOT 2021-05: Find ebooks among 416 Calibre sites</v>
      </c>
      <c r="D7" t="s">
        <v>31</v>
      </c>
      <c r="E7" t="s">
        <v>14</v>
      </c>
    </row>
    <row r="8" spans="1:5" x14ac:dyDescent="0.2">
      <c r="A8" t="str">
        <f>HYPERLINK("http://144.76.82.6:8090", "http://144.76.82.6:8090")</f>
        <v>http://144.76.82.6:8090</v>
      </c>
      <c r="B8" t="s">
        <v>5</v>
      </c>
      <c r="C8" t="str">
        <f>HYPERLINK("https://www.reddit.com/r/opendirectories/comments/oxqa3c", "games, books, movies and Japanese cartoons")</f>
        <v>games, books, movies and Japanese cartoons</v>
      </c>
      <c r="D8" t="s">
        <v>17</v>
      </c>
      <c r="E8" t="s">
        <v>63</v>
      </c>
    </row>
    <row r="9" spans="1:5" x14ac:dyDescent="0.2">
      <c r="A9" t="str">
        <f>HYPERLINK("http://87.89.227.77", "http://87.89.227.77")</f>
        <v>http://87.89.227.77</v>
      </c>
      <c r="B9" t="s">
        <v>5</v>
      </c>
      <c r="C9" t="str">
        <f>HYPERLINK("https://www.reddit.com/r/opendirectories/comments/owjf7x", "Ebooks, Windows Games, TV Shows, Movies")</f>
        <v>Ebooks, Windows Games, TV Shows, Movies</v>
      </c>
      <c r="D9" t="s">
        <v>18</v>
      </c>
    </row>
    <row r="10" spans="1:5" x14ac:dyDescent="0.2">
      <c r="A10" t="str">
        <f>HYPERLINK("http://tomhuang.com.au", "http://tomhuang.com.au")</f>
        <v>http://tomhuang.com.au</v>
      </c>
      <c r="B10" t="s">
        <v>5</v>
      </c>
      <c r="C10" t="str">
        <f>HYPERLINK("https://www.reddit.com/r/opendirectories/comments/owje73", "Philosophy Ebooks")</f>
        <v>Philosophy Ebooks</v>
      </c>
      <c r="D10" t="s">
        <v>18</v>
      </c>
    </row>
    <row r="11" spans="1:5" x14ac:dyDescent="0.2">
      <c r="A11" t="str">
        <f>HYPERLINK("https://www2.crashrecovery.org/woolfolk", "https://www2.crashrecovery.org/woolfolk")</f>
        <v>https://www2.crashrecovery.org/woolfolk</v>
      </c>
      <c r="B11" t="s">
        <v>5</v>
      </c>
      <c r="C11" t="str">
        <f>HYPERLINK("https://www.reddit.com/r/opendirectories/comments/owje0f", "Ebooks")</f>
        <v>Ebooks</v>
      </c>
      <c r="D11" t="s">
        <v>18</v>
      </c>
    </row>
    <row r="12" spans="1:5" x14ac:dyDescent="0.2">
      <c r="A12" t="str">
        <f>HYPERLINK("https://funambule.org/lectures", "https://funambule.org/lectures")</f>
        <v>https://funambule.org/lectures</v>
      </c>
      <c r="B12" t="s">
        <v>5</v>
      </c>
      <c r="C12" t="str">
        <f>HYPERLINK("https://www.reddit.com/r/opendirectories/comments/owjdj6", "French lectures and ebooks")</f>
        <v>French lectures and ebooks</v>
      </c>
      <c r="D12" t="s">
        <v>18</v>
      </c>
      <c r="E12" t="s">
        <v>51</v>
      </c>
    </row>
    <row r="13" spans="1:5" x14ac:dyDescent="0.2">
      <c r="A13" t="str">
        <f>HYPERLINK("https://epubs.bibliotk.mx", "https://epubs.bibliotk.mx")</f>
        <v>https://epubs.bibliotk.mx</v>
      </c>
      <c r="B13" t="s">
        <v>5</v>
      </c>
      <c r="C13" t="str">
        <f>HYPERLINK("https://www.reddit.com/r/opendirectories/comments/owjdci", "Ebooks")</f>
        <v>Ebooks</v>
      </c>
      <c r="D13" t="s">
        <v>18</v>
      </c>
    </row>
    <row r="14" spans="1:5" x14ac:dyDescent="0.2">
      <c r="A14" t="str">
        <f>HYPERLINK("https://backup.kjeks.io/Screenshots", "https://backup.kjeks.io/Screenshots")</f>
        <v>https://backup.kjeks.io/Screenshots</v>
      </c>
      <c r="B14" t="s">
        <v>5</v>
      </c>
      <c r="C14" t="str">
        <f>HYPERLINK("https://www.reddit.com/r/opendirectories/comments/owjd6u", "Ebooks, Movies, OS ISOs, CCNA resources, Windows Apps/Games")</f>
        <v>Ebooks, Movies, OS ISOs, CCNA resources, Windows Apps/Games</v>
      </c>
      <c r="D14" t="s">
        <v>18</v>
      </c>
    </row>
    <row r="15" spans="1:5" x14ac:dyDescent="0.2">
      <c r="A15" t="str">
        <f>HYPERLINK("http://users.telenet.be/mick", "http://users.telenet.be/mick")</f>
        <v>http://users.telenet.be/mick</v>
      </c>
      <c r="B15" t="s">
        <v>5</v>
      </c>
      <c r="C15" t="str">
        <f>HYPERLINK("https://www.reddit.com/r/opendirectories/comments/owjd1p", "Small collection of ebooks")</f>
        <v>Small collection of ebooks</v>
      </c>
      <c r="D15" t="s">
        <v>18</v>
      </c>
    </row>
    <row r="16" spans="1:5" x14ac:dyDescent="0.2">
      <c r="A16" t="str">
        <f>HYPERLINK("http://bison.ihep.su/~kachaev", "http://bison.ihep.su/~kachaev")</f>
        <v>http://bison.ihep.su/~kachaev</v>
      </c>
      <c r="B16" t="s">
        <v>5</v>
      </c>
      <c r="C16" t="str">
        <f>HYPERLINK("https://www.reddit.com/r/opendirectories/comments/owjcvq", "Ebooks (Mostly French)")</f>
        <v>Ebooks (Mostly French)</v>
      </c>
      <c r="D16" t="s">
        <v>18</v>
      </c>
      <c r="E16" t="s">
        <v>51</v>
      </c>
    </row>
    <row r="17" spans="1:5" x14ac:dyDescent="0.2">
      <c r="A17" t="str">
        <f>HYPERLINK("http://docsresearch.com/research", "http://docsresearch.com/research")</f>
        <v>http://docsresearch.com/research</v>
      </c>
      <c r="B17" t="s">
        <v>5</v>
      </c>
      <c r="C17" t="str">
        <f>HYPERLINK("https://www.reddit.com/r/opendirectories/comments/owjcno", "Wordlists, Ebooks, CEH Courses, OS ISOs")</f>
        <v>Wordlists, Ebooks, CEH Courses, OS ISOs</v>
      </c>
      <c r="D17" t="s">
        <v>18</v>
      </c>
    </row>
    <row r="18" spans="1:5" x14ac:dyDescent="0.2">
      <c r="A18" t="str">
        <f>HYPERLINK("https://download.net-load.com", "https://download.net-load.com")</f>
        <v>https://download.net-load.com</v>
      </c>
      <c r="B18" t="s">
        <v>5</v>
      </c>
      <c r="C18" t="str">
        <f>HYPERLINK("https://www.reddit.com/r/opendirectories/comments/owjchg", "Ebooks &amp;amp; Apps")</f>
        <v>Ebooks &amp;amp; Apps</v>
      </c>
      <c r="D18" t="s">
        <v>18</v>
      </c>
    </row>
    <row r="19" spans="1:5" x14ac:dyDescent="0.2">
      <c r="A19" t="str">
        <f>HYPERLINK("http://mizatt.com/ASOIAF", "http://mizatt.com/ASOIAF")</f>
        <v>http://mizatt.com/ASOIAF</v>
      </c>
      <c r="B19" t="s">
        <v>5</v>
      </c>
      <c r="C19" t="str">
        <f>HYPERLINK("https://www.reddit.com/r/opendirectories/comments/owj8oa", "Small collection of ebooks")</f>
        <v>Small collection of ebooks</v>
      </c>
      <c r="D19" t="s">
        <v>18</v>
      </c>
    </row>
    <row r="20" spans="1:5" x14ac:dyDescent="0.2">
      <c r="A20" t="str">
        <f>HYPERLINK("http://mqala.co.za/veed", "http://mqala.co.za/veed")</f>
        <v>http://mqala.co.za/veed</v>
      </c>
      <c r="B20" t="s">
        <v>5</v>
      </c>
      <c r="C20" t="str">
        <f>HYPERLINK("https://www.reddit.com/r/opendirectories/comments/otihnw", "Ebooks on Mathematics &amp;amp; Statistics")</f>
        <v>Ebooks on Mathematics &amp;amp; Statistics</v>
      </c>
      <c r="D20" t="s">
        <v>21</v>
      </c>
    </row>
    <row r="21" spans="1:5" x14ac:dyDescent="0.2">
      <c r="A21" t="str">
        <f>HYPERLINK("http://siglerdev.us", "http://siglerdev.us")</f>
        <v>http://siglerdev.us</v>
      </c>
      <c r="B21" t="s">
        <v>5</v>
      </c>
      <c r="C21" t="str">
        <f>HYPERLINK("https://www.reddit.com/r/opendirectories/comments/otig5z", "Small EBook collection")</f>
        <v>Small EBook collection</v>
      </c>
      <c r="D21" t="s">
        <v>21</v>
      </c>
    </row>
    <row r="22" spans="1:5" x14ac:dyDescent="0.2">
      <c r="A22" t="str">
        <f>HYPERLINK("https://www.dhammatalks.net", "https://www.dhammatalks.net")</f>
        <v>https://www.dhammatalks.net</v>
      </c>
      <c r="B22" t="s">
        <v>5</v>
      </c>
      <c r="C22" t="str">
        <f>HYPERLINK("https://www.reddit.com/r/opendirectories/comments/otic67", "Meditation &amp;amp; Religious EBooks")</f>
        <v>Meditation &amp;amp; Religious EBooks</v>
      </c>
      <c r="D22" t="s">
        <v>21</v>
      </c>
    </row>
    <row r="23" spans="1:5" x14ac:dyDescent="0.2">
      <c r="A23" t="str">
        <f>HYPERLINK("https://www.qsl.net/w/w7lk/misc%20pdf%20files", "https://www.qsl.net/w/w7lk/misc%20pdf%20files")</f>
        <v>https://www.qsl.net/w/w7lk/misc%20pdf%20files</v>
      </c>
      <c r="B23" t="s">
        <v>5</v>
      </c>
      <c r="C23" t="str">
        <f>HYPERLINK("https://www.reddit.com/r/opendirectories/comments/oti3tx", "HAM Radio &amp;amp; MISC Ebooks")</f>
        <v>HAM Radio &amp;amp; MISC Ebooks</v>
      </c>
      <c r="D23" t="s">
        <v>21</v>
      </c>
    </row>
    <row r="24" spans="1:5" x14ac:dyDescent="0.2">
      <c r="A24" t="str">
        <f>HYPERLINK("http://kevinluo.net/books", "http://kevinluo.net/books")</f>
        <v>http://kevinluo.net/books</v>
      </c>
      <c r="B24" t="s">
        <v>5</v>
      </c>
      <c r="C24" t="str">
        <f>HYPERLINK("https://www.reddit.com/r/opendirectories/comments/othyvy", "Ebooks")</f>
        <v>Ebooks</v>
      </c>
      <c r="D24" t="s">
        <v>21</v>
      </c>
    </row>
    <row r="25" spans="1:5" x14ac:dyDescent="0.2">
      <c r="A25" t="str">
        <f>HYPERLINK("http://users.softlab.ntua.gr/~sivann/books", "http://users.softlab.ntua.gr/~sivann/books")</f>
        <v>http://users.softlab.ntua.gr/~sivann/books</v>
      </c>
      <c r="B25" t="s">
        <v>5</v>
      </c>
      <c r="C25" t="str">
        <f>HYPERLINK("https://www.reddit.com/r/opendirectories/comments/othkjd", "Programming/NetSec Ebooks")</f>
        <v>Programming/NetSec Ebooks</v>
      </c>
      <c r="D25" t="s">
        <v>21</v>
      </c>
    </row>
    <row r="26" spans="1:5" x14ac:dyDescent="0.2">
      <c r="A26" t="str">
        <f>HYPERLINK("http://library.deep-blue-sea.net", "http://library.deep-blue-sea.net")</f>
        <v>http://library.deep-blue-sea.net</v>
      </c>
      <c r="B26" t="s">
        <v>5</v>
      </c>
      <c r="C26" t="str">
        <f>HYPERLINK("https://www.reddit.com/r/opendirectories/comments/oth7wo", "Motivational &amp;amp; Self-Help Ebooks")</f>
        <v>Motivational &amp;amp; Self-Help Ebooks</v>
      </c>
      <c r="D26" t="s">
        <v>21</v>
      </c>
    </row>
    <row r="27" spans="1:5" x14ac:dyDescent="0.2">
      <c r="A27" t="str">
        <f>HYPERLINK("https://www.schmalenstroer.net/books", "https://www.schmalenstroer.net/books")</f>
        <v>https://www.schmalenstroer.net/books</v>
      </c>
      <c r="B27" t="s">
        <v>5</v>
      </c>
      <c r="C27" t="str">
        <f>HYPERLINK("https://www.reddit.com/r/opendirectories/comments/oth3r2", "Ebooks by Author")</f>
        <v>Ebooks by Author</v>
      </c>
      <c r="D27" t="s">
        <v>21</v>
      </c>
    </row>
    <row r="28" spans="1:5" x14ac:dyDescent="0.2">
      <c r="A28" t="str">
        <f>HYPERLINK("https://metis.feralhosting.com/john1911/files", "https://metis.feralhosting.com/john1911/files")</f>
        <v>https://metis.feralhosting.com/john1911/files</v>
      </c>
      <c r="B28" t="s">
        <v>5</v>
      </c>
      <c r="C28" t="str">
        <f>HYPERLINK("https://www.reddit.com/r/opendirectories/comments/otgzwk", "Ebooks &amp;amp; Music")</f>
        <v>Ebooks &amp;amp; Music</v>
      </c>
      <c r="D28" t="s">
        <v>21</v>
      </c>
    </row>
    <row r="29" spans="1:5" x14ac:dyDescent="0.2">
      <c r="A29" t="str">
        <f>HYPERLINK("http://library.ytit.uz", "http://library.ytit.uz")</f>
        <v>http://library.ytit.uz</v>
      </c>
      <c r="B29" t="s">
        <v>5</v>
      </c>
      <c r="C29" t="str">
        <f>HYPERLINK("https://www.reddit.com/r/opendirectories/comments/otatyt", "Ebooks of all genres")</f>
        <v>Ebooks of all genres</v>
      </c>
      <c r="D29" t="s">
        <v>21</v>
      </c>
    </row>
    <row r="30" spans="1:5" x14ac:dyDescent="0.2">
      <c r="A30" t="str">
        <f>HYPERLINK("https://avalonlibrary.net", "https://avalonlibrary.net")</f>
        <v>https://avalonlibrary.net</v>
      </c>
      <c r="B30" t="s">
        <v>5</v>
      </c>
      <c r="C30" t="str">
        <f>HYPERLINK("https://www.reddit.com/r/opendirectories/comments/o91j1y", "Avalon Library")</f>
        <v>Avalon Library</v>
      </c>
      <c r="D30" t="s">
        <v>644</v>
      </c>
    </row>
    <row r="31" spans="1:5" x14ac:dyDescent="0.2">
      <c r="A31" t="str">
        <f>HYPERLINK("http://135.181.113.216:9000", "http://135.181.113.216:9000")</f>
        <v>http://135.181.113.216:9000</v>
      </c>
      <c r="B31" t="s">
        <v>5</v>
      </c>
      <c r="C31" t="str">
        <f>HYPERLINK("https://www.reddit.com/r/opendirectories/comments/o5n7qj", "Movies, tvshows, music, anime and ebooks")</f>
        <v>Movies, tvshows, music, anime and ebooks</v>
      </c>
      <c r="D31" t="s">
        <v>268</v>
      </c>
      <c r="E31" t="s">
        <v>14</v>
      </c>
    </row>
    <row r="32" spans="1:5" x14ac:dyDescent="0.2">
      <c r="A32" t="str">
        <f>HYPERLINK("http://188.165.227.112", "http://188.165.227.112")</f>
        <v>http://188.165.227.112</v>
      </c>
      <c r="B32" t="s">
        <v>5</v>
      </c>
      <c r="C32" t="str">
        <f>HYPERLINK("https://www.reddit.com/r/opendirectories/comments/nkkq2m", "🎠🎠🎠")</f>
        <v>🎠🎠🎠</v>
      </c>
      <c r="D32" t="s">
        <v>375</v>
      </c>
      <c r="E32" t="s">
        <v>51</v>
      </c>
    </row>
    <row r="33" spans="1:5" x14ac:dyDescent="0.2">
      <c r="A33" t="str">
        <f>HYPERLINK("https://doc.lagout.org", "https://doc.lagout.org")</f>
        <v>https://doc.lagout.org</v>
      </c>
      <c r="B33" t="s">
        <v>5</v>
      </c>
      <c r="C33" t="str">
        <f>HYPERLINK("https://www.reddit.com/r/opendirectories/comments/6cjdub", "Ebook collection X-Files")</f>
        <v>Ebook collection X-Files</v>
      </c>
      <c r="D33" t="s">
        <v>583</v>
      </c>
      <c r="E33" t="s">
        <v>359</v>
      </c>
    </row>
    <row r="34" spans="1:5" x14ac:dyDescent="0.2">
      <c r="A34" t="str">
        <f>HYPERLINK("http://arcanemedia.cc/ebooks", "http://arcanemedia.cc/ebooks")</f>
        <v>http://arcanemedia.cc/ebooks</v>
      </c>
      <c r="B34" t="s">
        <v>5</v>
      </c>
      <c r="C34" t="str">
        <f t="shared" ref="C34:C51" si="0">HYPERLINK("https://www.reddit.com/r/opendirectories/comments/nl36yk", "Materials")</f>
        <v>Materials</v>
      </c>
      <c r="D34" t="s">
        <v>584</v>
      </c>
    </row>
    <row r="35" spans="1:5" x14ac:dyDescent="0.2">
      <c r="A35" t="str">
        <f>HYPERLINK("https://knowledgeweighsnothing.com/wp-content/uploads", "https://knowledgeweighsnothing.com/wp-content/uploads")</f>
        <v>https://knowledgeweighsnothing.com/wp-content/uploads</v>
      </c>
      <c r="B35" t="s">
        <v>5</v>
      </c>
      <c r="C35" t="str">
        <f t="shared" si="0"/>
        <v>Materials</v>
      </c>
      <c r="D35" t="s">
        <v>584</v>
      </c>
    </row>
    <row r="36" spans="1:5" x14ac:dyDescent="0.2">
      <c r="A36" t="str">
        <f>HYPERLINK("http://klusik.pilsfree.net", "http://klusik.pilsfree.net")</f>
        <v>http://klusik.pilsfree.net</v>
      </c>
      <c r="B36" t="s">
        <v>5</v>
      </c>
      <c r="C36" t="str">
        <f t="shared" si="0"/>
        <v>Materials</v>
      </c>
      <c r="D36" t="s">
        <v>584</v>
      </c>
    </row>
    <row r="37" spans="1:5" x14ac:dyDescent="0.2">
      <c r="A37" t="str">
        <f>HYPERLINK("http://www.conhecer.org.br/download", "http://www.conhecer.org.br/download")</f>
        <v>http://www.conhecer.org.br/download</v>
      </c>
      <c r="B37" t="s">
        <v>5</v>
      </c>
      <c r="C37" t="str">
        <f t="shared" si="0"/>
        <v>Materials</v>
      </c>
      <c r="D37" t="s">
        <v>584</v>
      </c>
    </row>
    <row r="38" spans="1:5" x14ac:dyDescent="0.2">
      <c r="A38" t="str">
        <f>HYPERLINK("http://claudeschneider.com/shared", "http://claudeschneider.com/shared")</f>
        <v>http://claudeschneider.com/shared</v>
      </c>
      <c r="B38" t="s">
        <v>5</v>
      </c>
      <c r="C38" t="str">
        <f t="shared" si="0"/>
        <v>Materials</v>
      </c>
      <c r="D38" t="s">
        <v>584</v>
      </c>
    </row>
    <row r="39" spans="1:5" x14ac:dyDescent="0.2">
      <c r="A39" t="str">
        <f>HYPERLINK("https://easymusicnotes.com/many-pdf", "https://easymusicnotes.com/many-pdf")</f>
        <v>https://easymusicnotes.com/many-pdf</v>
      </c>
      <c r="B39" t="s">
        <v>5</v>
      </c>
      <c r="C39" t="str">
        <f t="shared" si="0"/>
        <v>Materials</v>
      </c>
      <c r="D39" t="s">
        <v>584</v>
      </c>
    </row>
    <row r="40" spans="1:5" x14ac:dyDescent="0.2">
      <c r="A40" t="str">
        <f>HYPERLINK("https://yourknow.com/uploads", "https://yourknow.com/uploads")</f>
        <v>https://yourknow.com/uploads</v>
      </c>
      <c r="B40" t="s">
        <v>5</v>
      </c>
      <c r="C40" t="str">
        <f t="shared" si="0"/>
        <v>Materials</v>
      </c>
      <c r="D40" t="s">
        <v>584</v>
      </c>
    </row>
    <row r="41" spans="1:5" x14ac:dyDescent="0.2">
      <c r="A41" t="str">
        <f>HYPERLINK("https://pdp.sjsu.edu/faculty/wso", "https://pdp.sjsu.edu/faculty/wso")</f>
        <v>https://pdp.sjsu.edu/faculty/wso</v>
      </c>
      <c r="B41" t="s">
        <v>5</v>
      </c>
      <c r="C41" t="str">
        <f t="shared" si="0"/>
        <v>Materials</v>
      </c>
      <c r="D41" t="s">
        <v>584</v>
      </c>
    </row>
    <row r="42" spans="1:5" x14ac:dyDescent="0.2">
      <c r="A42" t="str">
        <f>HYPERLINK("https://pdp.sjsu.edu/faculty/scharberg", "https://pdp.sjsu.edu/faculty/scharberg")</f>
        <v>https://pdp.sjsu.edu/faculty/scharberg</v>
      </c>
      <c r="B42" t="s">
        <v>5</v>
      </c>
      <c r="C42" t="str">
        <f t="shared" si="0"/>
        <v>Materials</v>
      </c>
      <c r="D42" t="s">
        <v>584</v>
      </c>
    </row>
    <row r="43" spans="1:5" x14ac:dyDescent="0.2">
      <c r="A43" t="str">
        <f>HYPERLINK("https://pdp.sjsu.edu/faculty/bmou", "https://pdp.sjsu.edu/faculty/bmou")</f>
        <v>https://pdp.sjsu.edu/faculty/bmou</v>
      </c>
      <c r="B43" t="s">
        <v>5</v>
      </c>
      <c r="C43" t="str">
        <f t="shared" si="0"/>
        <v>Materials</v>
      </c>
      <c r="D43" t="s">
        <v>584</v>
      </c>
    </row>
    <row r="44" spans="1:5" x14ac:dyDescent="0.2">
      <c r="A44" t="str">
        <f>HYPERLINK("https://pdp.sjsu.edu/faculty/marachi", "https://pdp.sjsu.edu/faculty/marachi")</f>
        <v>https://pdp.sjsu.edu/faculty/marachi</v>
      </c>
      <c r="B44" t="s">
        <v>5</v>
      </c>
      <c r="C44" t="str">
        <f t="shared" si="0"/>
        <v>Materials</v>
      </c>
      <c r="D44" t="s">
        <v>584</v>
      </c>
    </row>
    <row r="45" spans="1:5" x14ac:dyDescent="0.2">
      <c r="A45" t="str">
        <f>HYPERLINK("https://pdp.sjsu.edu/faculty/langdon", "https://pdp.sjsu.edu/faculty/langdon")</f>
        <v>https://pdp.sjsu.edu/faculty/langdon</v>
      </c>
      <c r="B45" t="s">
        <v>5</v>
      </c>
      <c r="C45" t="str">
        <f t="shared" si="0"/>
        <v>Materials</v>
      </c>
      <c r="D45" t="s">
        <v>584</v>
      </c>
    </row>
    <row r="46" spans="1:5" x14ac:dyDescent="0.2">
      <c r="A46" t="str">
        <f>HYPERLINK("https://pdp.sjsu.edu/faculty/rkeady", "https://pdp.sjsu.edu/faculty/rkeady")</f>
        <v>https://pdp.sjsu.edu/faculty/rkeady</v>
      </c>
      <c r="B46" t="s">
        <v>5</v>
      </c>
      <c r="C46" t="str">
        <f t="shared" si="0"/>
        <v>Materials</v>
      </c>
      <c r="D46" t="s">
        <v>584</v>
      </c>
    </row>
    <row r="47" spans="1:5" x14ac:dyDescent="0.2">
      <c r="A47" t="str">
        <f>HYPERLINK("https://pdp.sjsu.edu/faculty/harris", "https://pdp.sjsu.edu/faculty/harris")</f>
        <v>https://pdp.sjsu.edu/faculty/harris</v>
      </c>
      <c r="B47" t="s">
        <v>5</v>
      </c>
      <c r="C47" t="str">
        <f t="shared" si="0"/>
        <v>Materials</v>
      </c>
      <c r="D47" t="s">
        <v>584</v>
      </c>
    </row>
    <row r="48" spans="1:5" x14ac:dyDescent="0.2">
      <c r="A48" t="str">
        <f>HYPERLINK("https://pdp.sjsu.edu/faculty/hagemann", "https://pdp.sjsu.edu/faculty/hagemann")</f>
        <v>https://pdp.sjsu.edu/faculty/hagemann</v>
      </c>
      <c r="B48" t="s">
        <v>5</v>
      </c>
      <c r="C48" t="str">
        <f t="shared" si="0"/>
        <v>Materials</v>
      </c>
      <c r="D48" t="s">
        <v>584</v>
      </c>
    </row>
    <row r="49" spans="1:4" x14ac:dyDescent="0.2">
      <c r="A49" t="str">
        <f>HYPERLINK("https://pdp.sjsu.edu/faculty/gerstman", "https://pdp.sjsu.edu/faculty/gerstman")</f>
        <v>https://pdp.sjsu.edu/faculty/gerstman</v>
      </c>
      <c r="B49" t="s">
        <v>5</v>
      </c>
      <c r="C49" t="str">
        <f t="shared" si="0"/>
        <v>Materials</v>
      </c>
      <c r="D49" t="s">
        <v>584</v>
      </c>
    </row>
    <row r="50" spans="1:4" x14ac:dyDescent="0.2">
      <c r="A50" t="str">
        <f>HYPERLINK("https://pdp.sjsu.edu/faculty/gallardo", "https://pdp.sjsu.edu/faculty/gallardo")</f>
        <v>https://pdp.sjsu.edu/faculty/gallardo</v>
      </c>
      <c r="B50" t="s">
        <v>5</v>
      </c>
      <c r="C50" t="str">
        <f t="shared" si="0"/>
        <v>Materials</v>
      </c>
      <c r="D50" t="s">
        <v>584</v>
      </c>
    </row>
    <row r="51" spans="1:4" x14ac:dyDescent="0.2">
      <c r="A51" t="str">
        <f>HYPERLINK("https://pdp.sjsu.edu/faculty/mary.warner", "https://pdp.sjsu.edu/faculty/mary.warner")</f>
        <v>https://pdp.sjsu.edu/faculty/mary.warner</v>
      </c>
      <c r="B51" t="s">
        <v>5</v>
      </c>
      <c r="C51" t="str">
        <f t="shared" si="0"/>
        <v>Materials</v>
      </c>
      <c r="D51" t="s">
        <v>584</v>
      </c>
    </row>
    <row r="52" spans="1:4" x14ac:dyDescent="0.2">
      <c r="A52" t="str">
        <f>HYPERLINK("http://giove.isti.cnr.it/demo", "http://giove.isti.cnr.it/demo")</f>
        <v>http://giove.isti.cnr.it/demo</v>
      </c>
      <c r="B52" t="s">
        <v>5</v>
      </c>
      <c r="C52" t="str">
        <f>HYPERLINK("https://www.reddit.com/r/opendirectories/comments/mz0y6e", "Seems like a wildcard, web backend and a lot of book PDFs")</f>
        <v>Seems like a wildcard, web backend and a lot of book PDFs</v>
      </c>
      <c r="D52" t="s">
        <v>464</v>
      </c>
    </row>
    <row r="53" spans="1:4" x14ac:dyDescent="0.2">
      <c r="A53" t="str">
        <f>HYPERLINK("http://archives.1wise.es", "http://archives.1wise.es")</f>
        <v>http://archives.1wise.es</v>
      </c>
      <c r="B53" t="s">
        <v>5</v>
      </c>
      <c r="C53" t="str">
        <f>HYPERLINK("https://www.reddit.com/r/opendirectories/comments/mks6a3", "Some web wonderings I did today")</f>
        <v>Some web wonderings I did today</v>
      </c>
      <c r="D53" t="s">
        <v>274</v>
      </c>
    </row>
    <row r="54" spans="1:4" x14ac:dyDescent="0.2">
      <c r="A54" t="str">
        <f>HYPERLINK("http://69.164.208.4/files", "http://69.164.208.4/files")</f>
        <v>http://69.164.208.4/files</v>
      </c>
      <c r="B54" t="s">
        <v>5</v>
      </c>
      <c r="C54" t="str">
        <f>HYPERLINK("https://www.reddit.com/r/opendirectories/comments/mks6a3", "Some web wonderings I did today")</f>
        <v>Some web wonderings I did today</v>
      </c>
      <c r="D54" t="s">
        <v>274</v>
      </c>
    </row>
    <row r="55" spans="1:4" x14ac:dyDescent="0.2">
      <c r="A55" t="str">
        <f>HYPERLINK("http://pauladaunt.com/books", "http://pauladaunt.com/books")</f>
        <v>http://pauladaunt.com/books</v>
      </c>
      <c r="B55" t="s">
        <v>5</v>
      </c>
      <c r="C55" t="str">
        <f>HYPERLINK("https://www.reddit.com/r/opendirectories/comments/3dn84u", "Random Books (.txt and .pdf)")</f>
        <v>Random Books (.txt and .pdf)</v>
      </c>
      <c r="D55" t="s">
        <v>275</v>
      </c>
    </row>
    <row r="56" spans="1:4" x14ac:dyDescent="0.2">
      <c r="A56" t="str">
        <f>HYPERLINK("http://www.chiark.greenend.org.uk", "http://www.chiark.greenend.org.uk")</f>
        <v>http://www.chiark.greenend.org.uk</v>
      </c>
      <c r="B56" t="s">
        <v>5</v>
      </c>
      <c r="C56" t="str">
        <f t="shared" ref="C56:C63" si="1">HYPERLINK("https://www.reddit.com/r/opendirectories/comments/mks6a3", "Some web wonderings I did today")</f>
        <v>Some web wonderings I did today</v>
      </c>
      <c r="D56" t="s">
        <v>274</v>
      </c>
    </row>
    <row r="57" spans="1:4" x14ac:dyDescent="0.2">
      <c r="A57" t="str">
        <f>HYPERLINK("http://www.st-marks.kent.sch.uk/wp-content/uploads", "http://www.st-marks.kent.sch.uk/wp-content/uploads")</f>
        <v>http://www.st-marks.kent.sch.uk/wp-content/uploads</v>
      </c>
      <c r="B57" t="s">
        <v>5</v>
      </c>
      <c r="C57" t="str">
        <f t="shared" si="1"/>
        <v>Some web wonderings I did today</v>
      </c>
      <c r="D57" t="s">
        <v>274</v>
      </c>
    </row>
    <row r="58" spans="1:4" x14ac:dyDescent="0.2">
      <c r="A58" t="str">
        <f>HYPERLINK("http://www.blackkat.net/tintin", "http://www.blackkat.net/tintin")</f>
        <v>http://www.blackkat.net/tintin</v>
      </c>
      <c r="B58" t="s">
        <v>5</v>
      </c>
      <c r="C58" t="str">
        <f t="shared" si="1"/>
        <v>Some web wonderings I did today</v>
      </c>
      <c r="D58" t="s">
        <v>274</v>
      </c>
    </row>
    <row r="59" spans="1:4" x14ac:dyDescent="0.2">
      <c r="A59" t="str">
        <f>HYPERLINK("https://eref.se", "https://eref.se")</f>
        <v>https://eref.se</v>
      </c>
      <c r="B59" t="s">
        <v>5</v>
      </c>
      <c r="C59" t="str">
        <f t="shared" si="1"/>
        <v>Some web wonderings I did today</v>
      </c>
      <c r="D59" t="s">
        <v>274</v>
      </c>
    </row>
    <row r="60" spans="1:4" x14ac:dyDescent="0.2">
      <c r="A60" t="str">
        <f>HYPERLINK("http://154.68.126.6/library", "http://154.68.126.6/library")</f>
        <v>http://154.68.126.6/library</v>
      </c>
      <c r="B60" t="s">
        <v>5</v>
      </c>
      <c r="C60" t="str">
        <f t="shared" si="1"/>
        <v>Some web wonderings I did today</v>
      </c>
      <c r="D60" t="s">
        <v>274</v>
      </c>
    </row>
    <row r="61" spans="1:4" x14ac:dyDescent="0.2">
      <c r="A61" t="str">
        <f>HYPERLINK("http://home.iowaandersons.com", "http://home.iowaandersons.com")</f>
        <v>http://home.iowaandersons.com</v>
      </c>
      <c r="B61" t="s">
        <v>5</v>
      </c>
      <c r="C61" t="str">
        <f t="shared" si="1"/>
        <v>Some web wonderings I did today</v>
      </c>
      <c r="D61" t="s">
        <v>274</v>
      </c>
    </row>
    <row r="62" spans="1:4" x14ac:dyDescent="0.2">
      <c r="A62" t="str">
        <f>HYPERLINK("https://gennuso.iiens.net/lectures/Le%20livre%20d%27or%20de%20la%20SF", "https://gennuso.iiens.net/lectures/Le%20livre%20d%27or%20de%20la%20SF")</f>
        <v>https://gennuso.iiens.net/lectures/Le%20livre%20d%27or%20de%20la%20SF</v>
      </c>
      <c r="B62" t="s">
        <v>5</v>
      </c>
      <c r="C62" t="str">
        <f t="shared" si="1"/>
        <v>Some web wonderings I did today</v>
      </c>
      <c r="D62" t="s">
        <v>274</v>
      </c>
    </row>
    <row r="63" spans="1:4" x14ac:dyDescent="0.2">
      <c r="A63" t="str">
        <f>HYPERLINK("http://www.indiepornrevolution.com/indie-porn/wp-content/uploads", "http://www.indiepornrevolution.com/indie-porn/wp-content/uploads")</f>
        <v>http://www.indiepornrevolution.com/indie-porn/wp-content/uploads</v>
      </c>
      <c r="B63" t="s">
        <v>5</v>
      </c>
      <c r="C63" t="str">
        <f t="shared" si="1"/>
        <v>Some web wonderings I did today</v>
      </c>
      <c r="D63" t="s">
        <v>274</v>
      </c>
    </row>
    <row r="64" spans="1:4" x14ac:dyDescent="0.2">
      <c r="A64" t="str">
        <f>HYPERLINK("https://www.sindark.com/genre", "https://www.sindark.com/genre")</f>
        <v>https://www.sindark.com/genre</v>
      </c>
      <c r="B64" t="s">
        <v>5</v>
      </c>
      <c r="C64" t="str">
        <f t="shared" ref="C64:C71" si="2">HYPERLINK("https://www.reddit.com/r/opendirectories/comments/mk2auw", "So Some Random...")</f>
        <v>So Some Random...</v>
      </c>
      <c r="D64" t="s">
        <v>387</v>
      </c>
    </row>
    <row r="65" spans="1:4" x14ac:dyDescent="0.2">
      <c r="A65" t="str">
        <f>HYPERLINK("http://thinkingxxx.com/content", "http://thinkingxxx.com/content")</f>
        <v>http://thinkingxxx.com/content</v>
      </c>
      <c r="B65" t="s">
        <v>5</v>
      </c>
      <c r="C65" t="str">
        <f t="shared" si="2"/>
        <v>So Some Random...</v>
      </c>
      <c r="D65" t="s">
        <v>387</v>
      </c>
    </row>
    <row r="66" spans="1:4" x14ac:dyDescent="0.2">
      <c r="A66" t="str">
        <f>HYPERLINK("https://www.chromalytic.com.au/pdf2", "https://www.chromalytic.com.au/pdf2")</f>
        <v>https://www.chromalytic.com.au/pdf2</v>
      </c>
      <c r="B66" t="s">
        <v>5</v>
      </c>
      <c r="C66" t="str">
        <f t="shared" si="2"/>
        <v>So Some Random...</v>
      </c>
      <c r="D66" t="s">
        <v>387</v>
      </c>
    </row>
    <row r="67" spans="1:4" x14ac:dyDescent="0.2">
      <c r="A67" t="str">
        <f>HYPERLINK("https://mirror.explodie.org", "https://mirror.explodie.org")</f>
        <v>https://mirror.explodie.org</v>
      </c>
      <c r="B67" t="s">
        <v>5</v>
      </c>
      <c r="C67" t="str">
        <f t="shared" si="2"/>
        <v>So Some Random...</v>
      </c>
      <c r="D67" t="s">
        <v>387</v>
      </c>
    </row>
    <row r="68" spans="1:4" x14ac:dyDescent="0.2">
      <c r="A68" t="str">
        <f>HYPERLINK("https://www.documents.clientearth.org/wp-content/uploads", "https://www.documents.clientearth.org/wp-content/uploads")</f>
        <v>https://www.documents.clientearth.org/wp-content/uploads</v>
      </c>
      <c r="B68" t="s">
        <v>5</v>
      </c>
      <c r="C68" t="str">
        <f t="shared" si="2"/>
        <v>So Some Random...</v>
      </c>
      <c r="D68" t="s">
        <v>387</v>
      </c>
    </row>
    <row r="69" spans="1:4" x14ac:dyDescent="0.2">
      <c r="A69" t="str">
        <f>HYPERLINK("http://faculty.bennington.edu", "http://faculty.bennington.edu")</f>
        <v>http://faculty.bennington.edu</v>
      </c>
      <c r="B69" t="s">
        <v>5</v>
      </c>
      <c r="C69" t="str">
        <f t="shared" si="2"/>
        <v>So Some Random...</v>
      </c>
      <c r="D69" t="s">
        <v>387</v>
      </c>
    </row>
    <row r="70" spans="1:4" x14ac:dyDescent="0.2">
      <c r="A70" t="str">
        <f>HYPERLINK("https://www.wmm.com/storage", "https://www.wmm.com/storage")</f>
        <v>https://www.wmm.com/storage</v>
      </c>
      <c r="B70" t="s">
        <v>5</v>
      </c>
      <c r="C70" t="str">
        <f t="shared" si="2"/>
        <v>So Some Random...</v>
      </c>
      <c r="D70" t="s">
        <v>387</v>
      </c>
    </row>
    <row r="71" spans="1:4" x14ac:dyDescent="0.2">
      <c r="A71" t="str">
        <f>HYPERLINK("https://www.fuckyeahfitgirls.com/wp-content/uploads", "https://www.fuckyeahfitgirls.com/wp-content/uploads")</f>
        <v>https://www.fuckyeahfitgirls.com/wp-content/uploads</v>
      </c>
      <c r="B71" t="s">
        <v>5</v>
      </c>
      <c r="C71" t="str">
        <f t="shared" si="2"/>
        <v>So Some Random...</v>
      </c>
      <c r="D71" t="s">
        <v>387</v>
      </c>
    </row>
    <row r="72" spans="1:4" x14ac:dyDescent="0.2">
      <c r="A72" t="str">
        <f>HYPERLINK("http://webdata.psru.ac.th/~pisut/tims%20file", "http://webdata.psru.ac.th/~pisut/tims%20file")</f>
        <v>http://webdata.psru.ac.th/~pisut/tims%20file</v>
      </c>
      <c r="B72" t="s">
        <v>5</v>
      </c>
      <c r="D72" t="s">
        <v>383</v>
      </c>
    </row>
    <row r="73" spans="1:4" x14ac:dyDescent="0.2">
      <c r="A73" t="str">
        <f>HYPERLINK("https://www.grpl.org/uploads", "https://www.grpl.org/uploads")</f>
        <v>https://www.grpl.org/uploads</v>
      </c>
      <c r="B73" t="s">
        <v>5</v>
      </c>
      <c r="C73" t="str">
        <f>HYPERLINK("https://www.reddit.com/r/opendirectories/comments/mf6pm2", "Pdfs")</f>
        <v>Pdfs</v>
      </c>
      <c r="D73" t="s">
        <v>42</v>
      </c>
    </row>
    <row r="74" spans="1:4" x14ac:dyDescent="0.2">
      <c r="A74" t="str">
        <f>HYPERLINK("http://msp.ucsd.edu", "http://msp.ucsd.edu")</f>
        <v>http://msp.ucsd.edu</v>
      </c>
      <c r="B74" t="s">
        <v>5</v>
      </c>
      <c r="C74" t="str">
        <f>HYPERLINK("https://www.reddit.com/r/opendirectories/comments/mf0wub", "UCSD Electronic Music Program")</f>
        <v>UCSD Electronic Music Program</v>
      </c>
      <c r="D74" t="s">
        <v>42</v>
      </c>
    </row>
    <row r="75" spans="1:4" x14ac:dyDescent="0.2">
      <c r="A75" t="str">
        <f>HYPERLINK("https://docs.huihoo.com/rsaconference", "https://docs.huihoo.com/rsaconference")</f>
        <v>https://docs.huihoo.com/rsaconference</v>
      </c>
      <c r="B75" t="s">
        <v>5</v>
      </c>
      <c r="C75" t="str">
        <f>HYPERLINK("https://www.reddit.com/r/opendirectories/comments/m6ki7z", "security conference pdf's (older)")</f>
        <v>security conference pdf's (older)</v>
      </c>
      <c r="D75" t="s">
        <v>43</v>
      </c>
    </row>
    <row r="76" spans="1:4" x14ac:dyDescent="0.2">
      <c r="A76" t="str">
        <f>HYPERLINK("http://idriders.com/temp", "http://idriders.com/temp")</f>
        <v>http://idriders.com/temp</v>
      </c>
      <c r="B76" t="s">
        <v>5</v>
      </c>
      <c r="C76" t="str">
        <f>HYPERLINK("https://www.reddit.com/r/opendirectories/comments/364gut", "OK...Gotta Little Time...More Porn and Stuff")</f>
        <v>OK...Gotta Little Time...More Porn and Stuff</v>
      </c>
      <c r="D76" t="s">
        <v>587</v>
      </c>
    </row>
    <row r="77" spans="1:4" x14ac:dyDescent="0.2">
      <c r="A77" t="str">
        <f>HYPERLINK("http://jtoomim.org/brain-training", "http://jtoomim.org/brain-training")</f>
        <v>http://jtoomim.org/brain-training</v>
      </c>
      <c r="B77" t="s">
        <v>5</v>
      </c>
      <c r="C77" t="str">
        <f>HYPERLINK("https://www.reddit.com/r/opendirectories/comments/m6ds0y", "Books on the brain..lots of-off them...")</f>
        <v>Books on the brain..lots of-off them...</v>
      </c>
      <c r="D77" t="s">
        <v>43</v>
      </c>
    </row>
    <row r="78" spans="1:4" x14ac:dyDescent="0.2">
      <c r="A78" t="str">
        <f>HYPERLINK("https://parakaproductions.com/audio", "https://parakaproductions.com/audio")</f>
        <v>https://parakaproductions.com/audio</v>
      </c>
      <c r="B78" t="s">
        <v>5</v>
      </c>
      <c r="C78" t="str">
        <f>HYPERLINK("https://www.reddit.com/r/opendirectories/comments/m5u7au", "Lots Off audio books....")</f>
        <v>Lots Off audio books....</v>
      </c>
      <c r="D78" t="s">
        <v>44</v>
      </c>
    </row>
    <row r="79" spans="1:4" x14ac:dyDescent="0.2">
      <c r="A79" t="str">
        <f>HYPERLINK("https://paper.bobylive.com", "https://paper.bobylive.com")</f>
        <v>https://paper.bobylive.com</v>
      </c>
      <c r="B79" t="s">
        <v>5</v>
      </c>
      <c r="C79" t="str">
        <f>HYPERLINK("https://www.reddit.com/r/opendirectories/comments/m54pi1", "Computer Security/Hacking eBooks")</f>
        <v>Computer Security/Hacking eBooks</v>
      </c>
      <c r="D79" t="s">
        <v>45</v>
      </c>
    </row>
    <row r="80" spans="1:4" x14ac:dyDescent="0.2">
      <c r="A80" t="str">
        <f>HYPERLINK("http://ehsan0000.persiangig.com", "http://ehsan0000.persiangig.com")</f>
        <v>http://ehsan0000.persiangig.com</v>
      </c>
      <c r="B80" t="s">
        <v>5</v>
      </c>
      <c r="C80" t="str">
        <f>HYPERLINK("https://www.reddit.com/r/opendirectories/comments/m4uzrs", "biology textbooks and course notes")</f>
        <v>biology textbooks and course notes</v>
      </c>
      <c r="D80" t="s">
        <v>45</v>
      </c>
    </row>
    <row r="81" spans="1:5" x14ac:dyDescent="0.2">
      <c r="A81" t="str">
        <f>HYPERLINK("http://www.kiczek.com/temp", "http://www.kiczek.com/temp")</f>
        <v>http://www.kiczek.com/temp</v>
      </c>
      <c r="B81" t="s">
        <v>5</v>
      </c>
      <c r="C81" t="str">
        <f>HYPERLINK("https://www.reddit.com/r/opendirectories/comments/ftk1f6", "Zipped Books mostly epub")</f>
        <v>Zipped Books mostly epub</v>
      </c>
      <c r="D81" t="s">
        <v>588</v>
      </c>
    </row>
    <row r="82" spans="1:5" x14ac:dyDescent="0.2">
      <c r="A82" t="str">
        <f>HYPERLINK("https://www.oulu.fi", "https://www.oulu.fi")</f>
        <v>https://www.oulu.fi</v>
      </c>
      <c r="B82" t="s">
        <v>5</v>
      </c>
      <c r="C82" t="str">
        <f>HYPERLINK("https://www.reddit.com/r/opendirectories/comments/lr8lla", "Note on Quantum Mechanics, Statistics and Thermodynamics.")</f>
        <v>Note on Quantum Mechanics, Statistics and Thermodynamics.</v>
      </c>
      <c r="D82" t="s">
        <v>469</v>
      </c>
      <c r="E82" t="s">
        <v>14</v>
      </c>
    </row>
    <row r="83" spans="1:5" x14ac:dyDescent="0.2">
      <c r="A83" t="str">
        <f>HYPERLINK("https://fsi-languages.yojik.eu/archives", "https://fsi-languages.yojik.eu/archives")</f>
        <v>https://fsi-languages.yojik.eu/archives</v>
      </c>
      <c r="B83" t="s">
        <v>5</v>
      </c>
      <c r="C83" t="str">
        <f>HYPERLINK("https://www.reddit.com/r/opendirectories/comments/lik47p", "Books, MIDIs, language courses, and FLACs")</f>
        <v>Books, MIDIs, language courses, and FLACs</v>
      </c>
      <c r="D83" t="s">
        <v>290</v>
      </c>
    </row>
    <row r="84" spans="1:5" x14ac:dyDescent="0.2">
      <c r="A84" t="str">
        <f>HYPERLINK("http://www.groovydomain.com/gallery", "http://www.groovydomain.com/gallery")</f>
        <v>http://www.groovydomain.com/gallery</v>
      </c>
      <c r="B84" t="s">
        <v>5</v>
      </c>
      <c r="C84" t="str">
        <f>HYPERLINK("https://www.reddit.com/r/opendirectories/comments/5dzb6s", "Rock MP3 Albums")</f>
        <v>Rock MP3 Albums</v>
      </c>
      <c r="D84" t="s">
        <v>211</v>
      </c>
    </row>
    <row r="85" spans="1:5" x14ac:dyDescent="0.2">
      <c r="A85" t="str">
        <f>HYPERLINK("https://media.lanecc.edu/users/escobarj/transfer", "https://media.lanecc.edu/users/escobarj/transfer")</f>
        <v>https://media.lanecc.edu/users/escobarj/transfer</v>
      </c>
      <c r="B85" t="s">
        <v>5</v>
      </c>
      <c r="C85" t="str">
        <f>HYPERLINK("https://www.reddit.com/r/opendirectories/comments/lbpzcj", "American History ebooks")</f>
        <v>American History ebooks</v>
      </c>
      <c r="D85" t="s">
        <v>50</v>
      </c>
    </row>
    <row r="86" spans="1:5" x14ac:dyDescent="0.2">
      <c r="A86" t="str">
        <f>HYPERLINK("http://hcmaslov.d-real.sci-nnov.ru", "http://hcmaslov.d-real.sci-nnov.ru")</f>
        <v>http://hcmaslov.d-real.sci-nnov.ru</v>
      </c>
      <c r="B86" t="s">
        <v>5</v>
      </c>
      <c r="C86" t="str">
        <f>HYPERLINK("https://www.reddit.com/r/opendirectories/comments/6vw8h5", "Russian guy's public folder of mp3s, family photos, cat pictures, and documents")</f>
        <v>Russian guy's public folder of mp3s, family photos, cat pictures, and documents</v>
      </c>
      <c r="D86" t="s">
        <v>393</v>
      </c>
      <c r="E86" t="s">
        <v>156</v>
      </c>
    </row>
    <row r="87" spans="1:5" x14ac:dyDescent="0.2">
      <c r="A87" t="str">
        <f>HYPERLINK("https://www.theblackvault.com/documents", "https://www.theblackvault.com/documents")</f>
        <v>https://www.theblackvault.com/documents</v>
      </c>
      <c r="B87" t="s">
        <v>5</v>
      </c>
      <c r="C87" t="str">
        <f>HYPERLINK("https://www.reddit.com/r/opendirectories/comments/kxlb1b", "Black Vault Open Directory")</f>
        <v>Black Vault Open Directory</v>
      </c>
      <c r="D87" t="s">
        <v>589</v>
      </c>
    </row>
    <row r="88" spans="1:5" x14ac:dyDescent="0.2">
      <c r="A88" t="str">
        <f>HYPERLINK("https://grumbl.org/juniperdayone", "https://grumbl.org/juniperdayone")</f>
        <v>https://grumbl.org/juniperdayone</v>
      </c>
      <c r="B88" t="s">
        <v>5</v>
      </c>
      <c r="C88" t="str">
        <f>HYPERLINK("https://www.reddit.com/r/opendirectories/comments/kxe8mb", "Juniper Day One books, and an interesting root page")</f>
        <v>Juniper Day One books, and an interesting root page</v>
      </c>
      <c r="D88" t="s">
        <v>394</v>
      </c>
    </row>
    <row r="89" spans="1:5" x14ac:dyDescent="0.2">
      <c r="A89" t="str">
        <f>HYPERLINK("https://theswissbay.ch/pdf", "https://theswissbay.ch/pdf")</f>
        <v>https://theswissbay.ch/pdf</v>
      </c>
      <c r="B89" t="s">
        <v>5</v>
      </c>
      <c r="C89" t="str">
        <f>HYPERLINK("https://www.reddit.com/r/opendirectories/comments/b19k5v", "Computer books")</f>
        <v>Computer books</v>
      </c>
      <c r="D89" t="s">
        <v>332</v>
      </c>
    </row>
    <row r="90" spans="1:5" x14ac:dyDescent="0.2">
      <c r="A90" t="str">
        <f>HYPERLINK("https://theswissbay.ch/archlinux", "https://theswissbay.ch/archlinux")</f>
        <v>https://theswissbay.ch/archlinux</v>
      </c>
      <c r="B90" t="s">
        <v>5</v>
      </c>
      <c r="C90" t="str">
        <f>HYPERLINK("https://www.reddit.com/r/opendirectories/comments/kraz97", "The Swiss Bay: new content, new endpoints, more security")</f>
        <v>The Swiss Bay: new content, new endpoints, more security</v>
      </c>
      <c r="D90" t="s">
        <v>590</v>
      </c>
    </row>
    <row r="91" spans="1:5" x14ac:dyDescent="0.2">
      <c r="A91" t="str">
        <f>HYPERLINK("http://u2mad.com/ebooks", "http://u2mad.com/ebooks")</f>
        <v>http://u2mad.com/ebooks</v>
      </c>
      <c r="B91" t="s">
        <v>5</v>
      </c>
      <c r="C91" t="str">
        <f>HYPERLINK("https://www.reddit.com/r/opendirectories/comments/kqutz0", "Few RPG PDFs")</f>
        <v>Few RPG PDFs</v>
      </c>
      <c r="D91" t="s">
        <v>296</v>
      </c>
    </row>
    <row r="92" spans="1:5" x14ac:dyDescent="0.2">
      <c r="A92" t="str">
        <f>HYPERLINK("https://seedbox.retromags.com", "https://seedbox.retromags.com")</f>
        <v>https://seedbox.retromags.com</v>
      </c>
      <c r="B92" t="s">
        <v>5</v>
      </c>
      <c r="C92" t="str">
        <f>HYPERLINK("https://www.reddit.com/r/opendirectories/comments/kqr5yp", "Retromags Full Collection 2005-2020 (2020 Mags, Guides)")</f>
        <v>Retromags Full Collection 2005-2020 (2020 Mags, Guides)</v>
      </c>
      <c r="D92" t="s">
        <v>296</v>
      </c>
    </row>
    <row r="93" spans="1:5" x14ac:dyDescent="0.2">
      <c r="A93" t="str">
        <f>HYPERLINK("https://steveborsch.com/Thai-School-Books/Books", "https://steveborsch.com/Thai-School-Books/Books")</f>
        <v>https://steveborsch.com/Thai-School-Books/Books</v>
      </c>
      <c r="B93" t="s">
        <v>5</v>
      </c>
      <c r="C93" t="str">
        <f>HYPERLINK("https://www.reddit.com/r/opendirectories/comments/k7dwvm", "Lots of books")</f>
        <v>Lots of books</v>
      </c>
      <c r="D93" t="s">
        <v>57</v>
      </c>
    </row>
    <row r="94" spans="1:5" x14ac:dyDescent="0.2">
      <c r="A94" t="str">
        <f>HYPERLINK("http://ns377932.ip-5-196-89.eu/freecomics/books", "http://ns377932.ip-5-196-89.eu/freecomics/books")</f>
        <v>http://ns377932.ip-5-196-89.eu/freecomics/books</v>
      </c>
      <c r="B94" t="s">
        <v>5</v>
      </c>
      <c r="C94" t="str">
        <f>HYPERLINK("https://www.reddit.com/r/opendirectories/comments/k78arm", "A ton of ebooks and comics")</f>
        <v>A ton of ebooks and comics</v>
      </c>
      <c r="D94" t="s">
        <v>57</v>
      </c>
    </row>
    <row r="95" spans="1:5" x14ac:dyDescent="0.2">
      <c r="A95" t="str">
        <f>HYPERLINK("http://www.rebelj.cz/vipzone", "http://www.rebelj.cz/vipzone")</f>
        <v>http://www.rebelj.cz/vipzone</v>
      </c>
      <c r="B95" t="s">
        <v>5</v>
      </c>
      <c r="C95" t="str">
        <f>HYPERLINK("https://www.reddit.com/r/opendirectories/comments/k7867l", "Some Zaklinac (Witcher) books.")</f>
        <v>Some Zaklinac (Witcher) books.</v>
      </c>
      <c r="D95" t="s">
        <v>57</v>
      </c>
    </row>
    <row r="96" spans="1:5" x14ac:dyDescent="0.2">
      <c r="A96" t="str">
        <f>HYPERLINK("https://historiaspulp.com/wp-content/uploads", "https://historiaspulp.com/wp-content/uploads")</f>
        <v>https://historiaspulp.com/wp-content/uploads</v>
      </c>
      <c r="B96" t="s">
        <v>5</v>
      </c>
      <c r="C96" t="str">
        <f>HYPERLINK("https://www.reddit.com/r/opendirectories/comments/k73sbg", "Book Covers")</f>
        <v>Book Covers</v>
      </c>
      <c r="D96" t="s">
        <v>57</v>
      </c>
    </row>
    <row r="97" spans="1:5" x14ac:dyDescent="0.2">
      <c r="A97" t="str">
        <f>HYPERLINK("http://www.splattermind.com", "http://www.splattermind.com")</f>
        <v>http://www.splattermind.com</v>
      </c>
      <c r="B97" t="s">
        <v>5</v>
      </c>
      <c r="C97" t="str">
        <f>HYPERLINK("https://www.reddit.com/r/opendirectories/comments/aby1kp", "music video and audio")</f>
        <v>music video and audio</v>
      </c>
      <c r="D97" t="s">
        <v>303</v>
      </c>
    </row>
    <row r="98" spans="1:5" x14ac:dyDescent="0.2">
      <c r="A98" t="str">
        <f>HYPERLINK("http://dl.novellibrary.com", "http://dl.novellibrary.com")</f>
        <v>http://dl.novellibrary.com</v>
      </c>
      <c r="B98" t="s">
        <v>5</v>
      </c>
      <c r="C98" t="str">
        <f>HYPERLINK("https://www.reddit.com/r/opendirectories/comments/k0txf5", "Ebooks")</f>
        <v>Ebooks</v>
      </c>
      <c r="D98" t="s">
        <v>645</v>
      </c>
    </row>
    <row r="99" spans="1:5" x14ac:dyDescent="0.2">
      <c r="A99" t="str">
        <f>HYPERLINK("http://www.brubakers.us/jenni/SM", "http://www.brubakers.us/jenni/SM")</f>
        <v>http://www.brubakers.us/jenni/SM</v>
      </c>
      <c r="B99" t="s">
        <v>5</v>
      </c>
      <c r="C99" t="str">
        <f>HYPERLINK("https://www.reddit.com/r/opendirectories/comments/jzqu0o", "The Twilight Saga ebooks + Midnight Sun")</f>
        <v>The Twilight Saga ebooks + Midnight Sun</v>
      </c>
      <c r="D99" t="s">
        <v>59</v>
      </c>
    </row>
    <row r="100" spans="1:5" x14ac:dyDescent="0.2">
      <c r="A100" t="str">
        <f>HYPERLINK("http://www.kkoworld.com", "http://www.kkoworld.com")</f>
        <v>http://www.kkoworld.com</v>
      </c>
      <c r="B100" t="s">
        <v>5</v>
      </c>
      <c r="C100" t="str">
        <f>HYPERLINK("https://www.reddit.com/r/opendirectories/comments/jzqsk3", "Non-English ebooks, pdfs")</f>
        <v>Non-English ebooks, pdfs</v>
      </c>
      <c r="D100" t="s">
        <v>59</v>
      </c>
      <c r="E100" t="s">
        <v>14</v>
      </c>
    </row>
    <row r="101" spans="1:5" x14ac:dyDescent="0.2">
      <c r="A101" t="str">
        <f>HYPERLINK("https://185.194.148.222", "https://185.194.148.222")</f>
        <v>https://185.194.148.222</v>
      </c>
      <c r="B101" t="s">
        <v>5</v>
      </c>
      <c r="C101" t="str">
        <f>HYPERLINK("https://www.reddit.com/r/opendirectories/comments/j11ol5", "Programming books in Chinese")</f>
        <v>Programming books in Chinese</v>
      </c>
      <c r="D101" t="s">
        <v>476</v>
      </c>
      <c r="E101" t="s">
        <v>61</v>
      </c>
    </row>
    <row r="102" spans="1:5" x14ac:dyDescent="0.2">
      <c r="A102" t="str">
        <f>HYPERLINK("http://www.matraair.hu/charts", "http://www.matraair.hu/charts")</f>
        <v>http://www.matraair.hu/charts</v>
      </c>
      <c r="B102" t="s">
        <v>5</v>
      </c>
      <c r="C102" t="str">
        <f>HYPERLINK("https://www.reddit.com/r/opendirectories/comments/izxfc8", "airport runway stuff")</f>
        <v>airport runway stuff</v>
      </c>
      <c r="D102" t="s">
        <v>579</v>
      </c>
    </row>
    <row r="103" spans="1:5" x14ac:dyDescent="0.2">
      <c r="A103" t="str">
        <f>HYPERLINK("http://ichigo69.mayulive.com/manga", "http://ichigo69.mayulive.com/manga")</f>
        <v>http://ichigo69.mayulive.com/manga</v>
      </c>
      <c r="B103" t="s">
        <v>5</v>
      </c>
      <c r="C103" t="str">
        <f>HYPERLINK("https://www.reddit.com/r/opendirectories/comments/hjnzdo", "index of anime picture books")</f>
        <v>index of anime picture books</v>
      </c>
      <c r="D103" t="s">
        <v>81</v>
      </c>
    </row>
    <row r="104" spans="1:5" x14ac:dyDescent="0.2">
      <c r="A104" t="str">
        <f>HYPERLINK("https://pauladaunt.com/books", "https://pauladaunt.com/books")</f>
        <v>https://pauladaunt.com/books</v>
      </c>
      <c r="B104" t="s">
        <v>5</v>
      </c>
      <c r="C104" t="str">
        <f>HYPERLINK("https://www.reddit.com/r/opendirectories/comments/ihszzd", "eBooks")</f>
        <v>eBooks</v>
      </c>
      <c r="D104" t="s">
        <v>646</v>
      </c>
    </row>
    <row r="105" spans="1:5" x14ac:dyDescent="0.2">
      <c r="A105" t="str">
        <f>HYPERLINK("http://www.spaz.org/~jake/pix", "http://www.spaz.org/~jake/pix")</f>
        <v>http://www.spaz.org/~jake/pix</v>
      </c>
      <c r="B105" t="s">
        <v>5</v>
      </c>
      <c r="C105" t="str">
        <f>HYPERLINK("https://www.reddit.com/r/opendirectories/comments/ie1fkf", "Some ebooks, audiobooks")</f>
        <v>Some ebooks, audiobooks</v>
      </c>
      <c r="D105" t="s">
        <v>72</v>
      </c>
      <c r="E105" t="s">
        <v>592</v>
      </c>
    </row>
    <row r="106" spans="1:5" x14ac:dyDescent="0.2">
      <c r="A106" t="str">
        <f>HYPERLINK("http://wedophones.com/Manuals", "http://wedophones.com/Manuals")</f>
        <v>http://wedophones.com/Manuals</v>
      </c>
      <c r="B106" t="s">
        <v>5</v>
      </c>
      <c r="C106" t="str">
        <f>HYPERLINK("https://www.reddit.com/r/opendirectories/comments/idls4o", "Subaru Generator Manuals")</f>
        <v>Subaru Generator Manuals</v>
      </c>
      <c r="D106" t="s">
        <v>72</v>
      </c>
    </row>
    <row r="107" spans="1:5" x14ac:dyDescent="0.2">
      <c r="A107" t="str">
        <f>HYPERLINK("http://manualy.kupca.cz", "http://manualy.kupca.cz")</f>
        <v>http://manualy.kupca.cz</v>
      </c>
      <c r="B107" t="s">
        <v>5</v>
      </c>
      <c r="C107" t="str">
        <f>HYPERLINK("https://www.reddit.com/r/opendirectories/comments/iao4vu", "manuals")</f>
        <v>manuals</v>
      </c>
      <c r="D107" t="s">
        <v>480</v>
      </c>
    </row>
    <row r="108" spans="1:5" x14ac:dyDescent="0.2">
      <c r="A108" t="str">
        <f>HYPERLINK("http://ranma.hostalhost.com/manga", "http://ranma.hostalhost.com/manga")</f>
        <v>http://ranma.hostalhost.com/manga</v>
      </c>
      <c r="B108" t="s">
        <v>5</v>
      </c>
      <c r="C108" t="str">
        <f>HYPERLINK("https://www.reddit.com/r/opendirectories/comments/ia89ik", "Japanese comicbooks")</f>
        <v>Japanese comicbooks</v>
      </c>
      <c r="D108" t="s">
        <v>385</v>
      </c>
      <c r="E108" t="s">
        <v>63</v>
      </c>
    </row>
    <row r="109" spans="1:5" x14ac:dyDescent="0.2">
      <c r="A109" t="str">
        <f>HYPERLINK("http://nube.burningthetowers.com/ebook/Ebook_informatica", "http://nube.burningthetowers.com/ebook/Ebook_informatica")</f>
        <v>http://nube.burningthetowers.com/ebook/Ebook_informatica</v>
      </c>
      <c r="B109" t="s">
        <v>5</v>
      </c>
      <c r="C109" t="str">
        <f>HYPERLINK("https://www.reddit.com/r/opendirectories/comments/hxdbau", "Programming stuff")</f>
        <v>Programming stuff</v>
      </c>
      <c r="D109" t="s">
        <v>482</v>
      </c>
      <c r="E109" t="s">
        <v>377</v>
      </c>
    </row>
    <row r="110" spans="1:5" x14ac:dyDescent="0.2">
      <c r="A110" t="str">
        <f>HYPERLINK("https://lost-contact.mit.edu/afs/adrake.org", "https://lost-contact.mit.edu/afs/adrake.org")</f>
        <v>https://lost-contact.mit.edu/afs/adrake.org</v>
      </c>
      <c r="B110" t="s">
        <v>5</v>
      </c>
      <c r="C110" t="str">
        <f>HYPERLINK("https://www.reddit.com/r/opendirectories/comments/9cjnuc", "Games/warez?")</f>
        <v>Games/warez?</v>
      </c>
      <c r="D110" t="s">
        <v>593</v>
      </c>
      <c r="E110" t="s">
        <v>594</v>
      </c>
    </row>
    <row r="111" spans="1:5" x14ac:dyDescent="0.2">
      <c r="A111" t="str">
        <f>HYPERLINK("https://lira.epac.to/DOCS-TECH", "https://lira.epac.to/DOCS-TECH")</f>
        <v>https://lira.epac.to/DOCS-TECH</v>
      </c>
      <c r="B111" t="s">
        <v>5</v>
      </c>
      <c r="C111" t="str">
        <f>HYPERLINK("https://www.reddit.com/r/opendirectories/comments/b1anhn", "More books, good older hacking section")</f>
        <v>More books, good older hacking section</v>
      </c>
      <c r="D111" t="s">
        <v>332</v>
      </c>
      <c r="E111" t="s">
        <v>377</v>
      </c>
    </row>
    <row r="112" spans="1:5" x14ac:dyDescent="0.2">
      <c r="A112" t="str">
        <f>HYPERLINK("https://dev.rbcafe.com", "https://dev.rbcafe.com")</f>
        <v>https://dev.rbcafe.com</v>
      </c>
      <c r="B112" t="s">
        <v>5</v>
      </c>
      <c r="C112" t="str">
        <f>HYPERLINK("https://www.reddit.com/r/opendirectories/comments/hxdbau", "Programming stuff")</f>
        <v>Programming stuff</v>
      </c>
      <c r="D112" t="s">
        <v>482</v>
      </c>
      <c r="E112" t="s">
        <v>377</v>
      </c>
    </row>
    <row r="113" spans="1:5" x14ac:dyDescent="0.2">
      <c r="A113" t="str">
        <f>HYPERLINK("https://www.cse.unr.edu/~check", "https://www.cse.unr.edu/~check")</f>
        <v>https://www.cse.unr.edu/~check</v>
      </c>
      <c r="B113" t="s">
        <v>5</v>
      </c>
      <c r="C113" t="str">
        <f>HYPERLINK("https://www.reddit.com/r/opendirectories/comments/hxdbau", "Programming stuff")</f>
        <v>Programming stuff</v>
      </c>
      <c r="D113" t="s">
        <v>482</v>
      </c>
      <c r="E113" t="s">
        <v>377</v>
      </c>
    </row>
    <row r="114" spans="1:5" x14ac:dyDescent="0.2">
      <c r="A114" t="str">
        <f>HYPERLINK("http://www.cesarkallas.net/arquivos", "http://www.cesarkallas.net/arquivos")</f>
        <v>http://www.cesarkallas.net/arquivos</v>
      </c>
      <c r="B114" t="s">
        <v>5</v>
      </c>
      <c r="C114" t="str">
        <f>HYPERLINK("https://www.reddit.com/r/opendirectories/comments/hxdbau", "Programming stuff")</f>
        <v>Programming stuff</v>
      </c>
      <c r="D114" t="s">
        <v>482</v>
      </c>
      <c r="E114" t="s">
        <v>377</v>
      </c>
    </row>
    <row r="115" spans="1:5" x14ac:dyDescent="0.2">
      <c r="A115" t="str">
        <f>HYPERLINK("http://www.robot.bmstu.ru/files", "http://www.robot.bmstu.ru/files")</f>
        <v>http://www.robot.bmstu.ru/files</v>
      </c>
      <c r="B115" t="s">
        <v>5</v>
      </c>
      <c r="C115" t="str">
        <f>HYPERLINK("https://www.reddit.com/r/opendirectories/comments/hxdbau", "Programming stuff")</f>
        <v>Programming stuff</v>
      </c>
      <c r="D115" t="s">
        <v>482</v>
      </c>
      <c r="E115" t="s">
        <v>377</v>
      </c>
    </row>
    <row r="116" spans="1:5" x14ac:dyDescent="0.2">
      <c r="A116" t="str">
        <f>HYPERLINK("https://store.dockerme.ir", "https://store.dockerme.ir")</f>
        <v>https://store.dockerme.ir</v>
      </c>
      <c r="B116" t="s">
        <v>5</v>
      </c>
      <c r="C116" t="str">
        <f>HYPERLINK("https://www.reddit.com/r/opendirectories/comments/cc7y96", "Handfull of Linux/Docker pdfs")</f>
        <v>Handfull of Linux/Docker pdfs</v>
      </c>
      <c r="D116" t="s">
        <v>595</v>
      </c>
      <c r="E116" t="s">
        <v>377</v>
      </c>
    </row>
    <row r="117" spans="1:5" x14ac:dyDescent="0.2">
      <c r="A117" t="str">
        <f>HYPERLINK("http://lab.ilkom.unila.ac.id/ebook", "http://lab.ilkom.unila.ac.id/ebook")</f>
        <v>http://lab.ilkom.unila.ac.id/ebook</v>
      </c>
      <c r="B117" t="s">
        <v>5</v>
      </c>
      <c r="C117" t="str">
        <f>HYPERLINK("https://www.reddit.com/r/opendirectories/comments/hxdbau", "Programming stuff")</f>
        <v>Programming stuff</v>
      </c>
      <c r="D117" t="s">
        <v>482</v>
      </c>
      <c r="E117" t="s">
        <v>377</v>
      </c>
    </row>
    <row r="118" spans="1:5" x14ac:dyDescent="0.2">
      <c r="A118" t="str">
        <f>HYPERLINK("http://81.95.233.163:8888", "http://81.95.233.163:8888")</f>
        <v>http://81.95.233.163:8888</v>
      </c>
      <c r="B118" t="s">
        <v>5</v>
      </c>
      <c r="C118" t="str">
        <f>HYPERLINK("https://www.reddit.com/r/opendirectories/comments/hvzb2k", "Books and Courses (mostly JavaScript, CSS, Web)")</f>
        <v>Books and Courses (mostly JavaScript, CSS, Web)</v>
      </c>
      <c r="D118" t="s">
        <v>647</v>
      </c>
    </row>
    <row r="119" spans="1:5" x14ac:dyDescent="0.2">
      <c r="A119" t="str">
        <f>HYPERLINK("http://51.255.68.3:8011", "http://51.255.68.3:8011")</f>
        <v>http://51.255.68.3:8011</v>
      </c>
      <c r="B119" t="s">
        <v>5</v>
      </c>
      <c r="C119" t="str">
        <f>HYPERLINK("https://www.reddit.com/r/opendirectories/comments/huou39", "misc stuff. Movies, books, music etc...")</f>
        <v>misc stuff. Movies, books, music etc...</v>
      </c>
      <c r="D119" t="s">
        <v>403</v>
      </c>
    </row>
    <row r="120" spans="1:5" x14ac:dyDescent="0.2">
      <c r="A120" t="str">
        <f>HYPERLINK("https://www.dhammatalks.net/Books", "https://www.dhammatalks.net/Books")</f>
        <v>https://www.dhammatalks.net/Books</v>
      </c>
      <c r="B120" t="s">
        <v>5</v>
      </c>
      <c r="C120" t="str">
        <f>HYPERLINK("https://www.reddit.com/r/opendirectories/comments/ht25l9", "buddhist books and articles")</f>
        <v>buddhist books and articles</v>
      </c>
      <c r="D120" t="s">
        <v>597</v>
      </c>
    </row>
    <row r="121" spans="1:5" x14ac:dyDescent="0.2">
      <c r="A121" t="str">
        <f>HYPERLINK("https://www.dhammatalks.net/Articles", "https://www.dhammatalks.net/Articles")</f>
        <v>https://www.dhammatalks.net/Articles</v>
      </c>
      <c r="B121" t="s">
        <v>5</v>
      </c>
      <c r="C121" t="str">
        <f>HYPERLINK("https://www.reddit.com/r/opendirectories/comments/ht25l9", "buddhist books and articles")</f>
        <v>buddhist books and articles</v>
      </c>
      <c r="D121" t="s">
        <v>597</v>
      </c>
    </row>
    <row r="122" spans="1:5" x14ac:dyDescent="0.2">
      <c r="A122" t="str">
        <f>HYPERLINK("https://library.za3k.com", "https://library.za3k.com")</f>
        <v>https://library.za3k.com</v>
      </c>
      <c r="B122" t="s">
        <v>5</v>
      </c>
      <c r="C122" t="str">
        <f>HYPERLINK("https://www.reddit.com/r/opendirectories/comments/hsng94", "Misc Books")</f>
        <v>Misc Books</v>
      </c>
      <c r="D122" t="s">
        <v>597</v>
      </c>
    </row>
    <row r="123" spans="1:5" x14ac:dyDescent="0.2">
      <c r="A123" t="str">
        <f>HYPERLINK("http://www.eduo.info/wp-content/uploads", "http://www.eduo.info/wp-content/uploads")</f>
        <v>http://www.eduo.info/wp-content/uploads</v>
      </c>
      <c r="B123" t="s">
        <v>5</v>
      </c>
      <c r="C123" t="str">
        <f>HYPERLINK("https://www.reddit.com/r/opendirectories/comments/hq6hda", "Watchmen Comics 1-12")</f>
        <v>Watchmen Comics 1-12</v>
      </c>
      <c r="D123" t="s">
        <v>485</v>
      </c>
    </row>
    <row r="124" spans="1:5" x14ac:dyDescent="0.2">
      <c r="A124" t="str">
        <f>HYPERLINK("http://shemagazine.ca/wp-content/uploads", "http://shemagazine.ca/wp-content/uploads")</f>
        <v>http://shemagazine.ca/wp-content/uploads</v>
      </c>
      <c r="B124" t="s">
        <v>5</v>
      </c>
      <c r="C124" t="str">
        <f>HYPERLINK("https://www.reddit.com/r/opendirectories/comments/hpr4sg", "Shemagazine (Canadian Magazine)")</f>
        <v>Shemagazine (Canadian Magazine)</v>
      </c>
      <c r="D124" t="s">
        <v>404</v>
      </c>
    </row>
    <row r="125" spans="1:5" x14ac:dyDescent="0.2">
      <c r="A125" t="str">
        <f>HYPERLINK("https://channelvision.com/wp-content/uploads", "https://channelvision.com/wp-content/uploads")</f>
        <v>https://channelvision.com/wp-content/uploads</v>
      </c>
      <c r="B125" t="s">
        <v>5</v>
      </c>
      <c r="C125" t="str">
        <f>HYPERLINK("https://www.reddit.com/r/opendirectories/comments/hpr0gx", "Channelvision service manuals (Security, AV)")</f>
        <v>Channelvision service manuals (Security, AV)</v>
      </c>
      <c r="D125" t="s">
        <v>404</v>
      </c>
    </row>
    <row r="126" spans="1:5" x14ac:dyDescent="0.2">
      <c r="A126" t="str">
        <f>HYPERLINK("https://www.djjubeemedia.appboxes.co/Apks", "https://www.djjubeemedia.appboxes.co/Apks")</f>
        <v>https://www.djjubeemedia.appboxes.co/Apks</v>
      </c>
      <c r="B126" t="s">
        <v>5</v>
      </c>
      <c r="C126" t="str">
        <f>HYPERLINK("https://www.reddit.com/r/opendirectories/comments/ft483i", "Various APK Type Files")</f>
        <v>Various APK Type Files</v>
      </c>
      <c r="D126" t="s">
        <v>92</v>
      </c>
    </row>
    <row r="127" spans="1:5" x14ac:dyDescent="0.2">
      <c r="A127" t="str">
        <f>HYPERLINK("https://www.magicgatebg.com/Books", "https://www.magicgatebg.com/Books")</f>
        <v>https://www.magicgatebg.com/Books</v>
      </c>
      <c r="B127" t="s">
        <v>5</v>
      </c>
      <c r="C127" t="str">
        <f>HYPERLINK("https://www.reddit.com/r/opendirectories/comments/gerw22", "Dark Books [Alchemy, Occultism, Demonology, Black Magic, Tarot, Runes, Witchcraft]")</f>
        <v>Dark Books [Alchemy, Occultism, Demonology, Black Magic, Tarot, Runes, Witchcraft]</v>
      </c>
      <c r="D127" t="s">
        <v>648</v>
      </c>
    </row>
    <row r="128" spans="1:5" x14ac:dyDescent="0.2">
      <c r="A128" t="str">
        <f>HYPERLINK("https://lit.gfax.ch", "https://lit.gfax.ch")</f>
        <v>https://lit.gfax.ch</v>
      </c>
      <c r="B128" t="s">
        <v>5</v>
      </c>
      <c r="C128" t="str">
        <f>HYPERLINK("https://www.reddit.com/r/opendirectories/comments/gbznvf", "Lots of Books about Music plus sheets")</f>
        <v>Lots of Books about Music plus sheets</v>
      </c>
      <c r="D128" t="s">
        <v>527</v>
      </c>
    </row>
    <row r="129" spans="1:5" x14ac:dyDescent="0.2">
      <c r="A129" t="str">
        <f>HYPERLINK("https://www.giltweasel.com", "https://www.giltweasel.com")</f>
        <v>https://www.giltweasel.com</v>
      </c>
      <c r="B129" t="s">
        <v>5</v>
      </c>
      <c r="C129" t="str">
        <f>HYPERLINK("https://www.reddit.com/r/opendirectories/comments/gbsuoj", "15 (originals?) english books directories . One with a giga collection of Physics, Fiction, Survival")</f>
        <v>15 (originals?) english books directories . One with a giga collection of Physics, Fiction, Survival</v>
      </c>
      <c r="D129" t="s">
        <v>527</v>
      </c>
      <c r="E129" t="s">
        <v>592</v>
      </c>
    </row>
    <row r="130" spans="1:5" x14ac:dyDescent="0.2">
      <c r="A130" t="str">
        <f>HYPERLINK("https://bobson.ludost.net", "https://bobson.ludost.net")</f>
        <v>https://bobson.ludost.net</v>
      </c>
      <c r="B130" t="s">
        <v>5</v>
      </c>
      <c r="C130" t="str">
        <f>HYPERLINK("https://www.reddit.com/r/opendirectories/comments/gbsuoj", "15 (originals?) english books directories . One with a giga collection of Physics, Fiction, Survival")</f>
        <v>15 (originals?) english books directories . One with a giga collection of Physics, Fiction, Survival</v>
      </c>
      <c r="D130" t="s">
        <v>527</v>
      </c>
      <c r="E130" t="s">
        <v>592</v>
      </c>
    </row>
    <row r="131" spans="1:5" x14ac:dyDescent="0.2">
      <c r="A131" t="str">
        <f>HYPERLINK("http://tammy.murphworld.com", "http://tammy.murphworld.com")</f>
        <v>http://tammy.murphworld.com</v>
      </c>
      <c r="B131" t="s">
        <v>5</v>
      </c>
      <c r="C131" t="str">
        <f>HYPERLINK("https://www.reddit.com/r/opendirectories/comments/gbsuoj", "15 (originals?) english books directories . One with a giga collection of Physics, Fiction, Survival")</f>
        <v>15 (originals?) english books directories . One with a giga collection of Physics, Fiction, Survival</v>
      </c>
      <c r="D131" t="s">
        <v>527</v>
      </c>
      <c r="E131" t="s">
        <v>592</v>
      </c>
    </row>
    <row r="132" spans="1:5" x14ac:dyDescent="0.2">
      <c r="A132" t="str">
        <f>HYPERLINK("http://www.chersi.it/listing", "http://www.chersi.it/listing")</f>
        <v>http://www.chersi.it/listing</v>
      </c>
      <c r="B132" t="s">
        <v>5</v>
      </c>
      <c r="C132" t="str">
        <f>HYPERLINK("https://www.reddit.com/r/opendirectories/comments/ef3s4u", "Some books in different languages (english, dutch, italian, ...) I just discovered")</f>
        <v>Some books in different languages (english, dutch, italian, ...) I just discovered</v>
      </c>
      <c r="D132" t="s">
        <v>600</v>
      </c>
      <c r="E132" t="s">
        <v>601</v>
      </c>
    </row>
    <row r="133" spans="1:5" x14ac:dyDescent="0.2">
      <c r="A133" t="str">
        <f>HYPERLINK("http://www.cvillavicencio.com/archivos/ebooks", "http://www.cvillavicencio.com/archivos/ebooks")</f>
        <v>http://www.cvillavicencio.com/archivos/ebooks</v>
      </c>
      <c r="B133" t="s">
        <v>5</v>
      </c>
      <c r="C133" t="str">
        <f>HYPERLINK("https://www.reddit.com/r/opendirectories/comments/gbl4la", "11 NON english ebooks directories. Languages : SPA, PRT, ITA, CZE, NLD")</f>
        <v>11 NON english ebooks directories. Languages : SPA, PRT, ITA, CZE, NLD</v>
      </c>
      <c r="D133" t="s">
        <v>649</v>
      </c>
      <c r="E133" t="s">
        <v>14</v>
      </c>
    </row>
    <row r="134" spans="1:5" x14ac:dyDescent="0.2">
      <c r="A134" t="str">
        <f>HYPERLINK("http://www.djel.es/datos/biblioteca", "http://www.djel.es/datos/biblioteca")</f>
        <v>http://www.djel.es/datos/biblioteca</v>
      </c>
      <c r="B134" t="s">
        <v>5</v>
      </c>
      <c r="C134" t="str">
        <f>HYPERLINK("https://www.reddit.com/r/opendirectories/comments/gbl4la", "11 NON english ebooks directories. Languages : SPA, PRT, ITA, CZE, NLD")</f>
        <v>11 NON english ebooks directories. Languages : SPA, PRT, ITA, CZE, NLD</v>
      </c>
      <c r="D134" t="s">
        <v>649</v>
      </c>
      <c r="E134" t="s">
        <v>14</v>
      </c>
    </row>
    <row r="135" spans="1:5" x14ac:dyDescent="0.2">
      <c r="A135" t="str">
        <f>HYPERLINK("http://ebookgratis.biz", "http://ebookgratis.biz")</f>
        <v>http://ebookgratis.biz</v>
      </c>
      <c r="B135" t="s">
        <v>5</v>
      </c>
      <c r="C135" t="str">
        <f>HYPERLINK("https://www.reddit.com/r/opendirectories/comments/gbl4la", "11 NON english ebooks directories. Languages : SPA, PRT, ITA, CZE, NLD")</f>
        <v>11 NON english ebooks directories. Languages : SPA, PRT, ITA, CZE, NLD</v>
      </c>
      <c r="D135" t="s">
        <v>649</v>
      </c>
      <c r="E135" t="s">
        <v>14</v>
      </c>
    </row>
    <row r="136" spans="1:5" x14ac:dyDescent="0.2">
      <c r="A136" t="str">
        <f>HYPERLINK("http://geo.mff.cuni.cz/~io/pers/rest/delete/troska", "http://geo.mff.cuni.cz/~io/pers/rest/delete/troska")</f>
        <v>http://geo.mff.cuni.cz/~io/pers/rest/delete/troska</v>
      </c>
      <c r="B136" t="s">
        <v>5</v>
      </c>
      <c r="C136" t="str">
        <f>HYPERLINK("https://www.reddit.com/r/opendirectories/comments/gbl4la", "11 NON english ebooks directories. Languages : SPA, PRT, ITA, CZE, NLD")</f>
        <v>11 NON english ebooks directories. Languages : SPA, PRT, ITA, CZE, NLD</v>
      </c>
      <c r="D136" t="s">
        <v>649</v>
      </c>
      <c r="E136" t="s">
        <v>14</v>
      </c>
    </row>
    <row r="137" spans="1:5" x14ac:dyDescent="0.2">
      <c r="A137" t="str">
        <f>HYPERLINK("http://mamushkadogs.arcekane.com/Backups", "http://mamushkadogs.arcekane.com/Backups")</f>
        <v>http://mamushkadogs.arcekane.com/Backups</v>
      </c>
      <c r="B137" t="s">
        <v>5</v>
      </c>
      <c r="C137" t="str">
        <f>HYPERLINK("https://www.reddit.com/r/opendirectories/comments/gaa3tv", "1001 books you must read before you die")</f>
        <v>1001 books you must read before you die</v>
      </c>
      <c r="D137" t="s">
        <v>650</v>
      </c>
    </row>
    <row r="138" spans="1:5" x14ac:dyDescent="0.2">
      <c r="A138" t="str">
        <f>HYPERLINK("http://avalonlibrary.net", "http://avalonlibrary.net")</f>
        <v>http://avalonlibrary.net</v>
      </c>
      <c r="B138" t="s">
        <v>5</v>
      </c>
      <c r="C138" t="str">
        <f>HYPERLINK("https://www.reddit.com/r/opendirectories/comments/ayvx7n", "Avalon library")</f>
        <v>Avalon library</v>
      </c>
      <c r="D138" t="s">
        <v>651</v>
      </c>
    </row>
    <row r="139" spans="1:5" x14ac:dyDescent="0.2">
      <c r="A139" t="str">
        <f>HYPERLINK("https://amplereads.com/uploads", "https://amplereads.com/uploads")</f>
        <v>https://amplereads.com/uploads</v>
      </c>
      <c r="B139" t="s">
        <v>5</v>
      </c>
      <c r="C139" t="str">
        <f>HYPERLINK("https://www.reddit.com/r/opendirectories/comments/g912h5", "fiction e-books with their cover (amplereads.com)")</f>
        <v>fiction e-books with their cover (amplereads.com)</v>
      </c>
      <c r="D139" t="s">
        <v>87</v>
      </c>
    </row>
    <row r="140" spans="1:5" x14ac:dyDescent="0.2">
      <c r="A140" t="str">
        <f>HYPERLINK("http://files.abandonia.com/extras", "http://files.abandonia.com/extras")</f>
        <v>http://files.abandonia.com/extras</v>
      </c>
      <c r="B140" t="s">
        <v>5</v>
      </c>
      <c r="C140" t="str">
        <f>HYPERLINK("https://www.reddit.com/r/opendirectories/comments/g6u1c3", "Abandoned games related stuff - books, manuals, magazines, reviews")</f>
        <v>Abandoned games related stuff - books, manuals, magazines, reviews</v>
      </c>
      <c r="D140" t="s">
        <v>602</v>
      </c>
    </row>
    <row r="141" spans="1:5" x14ac:dyDescent="0.2">
      <c r="A141" t="str">
        <f>HYPERLINK("http://ftp.pigwa.net", "http://ftp.pigwa.net")</f>
        <v>http://ftp.pigwa.net</v>
      </c>
      <c r="B141" t="s">
        <v>5</v>
      </c>
      <c r="C141" t="str">
        <f>HYPERLINK("https://www.reddit.com/r/opendirectories/comments/aeymqt", "845GB Archive of Atari/8bit Demoscene material (party folders, videos, actual demo files, emulators etc)")</f>
        <v>845GB Archive of Atari/8bit Demoscene material (party folders, videos, actual demo files, emulators etc)</v>
      </c>
      <c r="D141" t="s">
        <v>317</v>
      </c>
    </row>
    <row r="142" spans="1:5" x14ac:dyDescent="0.2">
      <c r="A142" t="str">
        <f>HYPERLINK("https://elibrary.youthandsport.gov.ng/public/files", "https://elibrary.youthandsport.gov.ng/public/files")</f>
        <v>https://elibrary.youthandsport.gov.ng/public/files</v>
      </c>
      <c r="B142" t="s">
        <v>5</v>
      </c>
      <c r="C142" t="str">
        <f>HYPERLINK("https://www.reddit.com/r/opendirectories/comments/eujxts", "True crime stuff.")</f>
        <v>True crime stuff.</v>
      </c>
      <c r="D142" t="s">
        <v>609</v>
      </c>
    </row>
    <row r="143" spans="1:5" x14ac:dyDescent="0.2">
      <c r="A143" t="str">
        <f>HYPERLINK("https://codernet.ru/media", "https://codernet.ru/media")</f>
        <v>https://codernet.ru/media</v>
      </c>
      <c r="B143" t="s">
        <v>5</v>
      </c>
      <c r="C143" t="str">
        <f>HYPERLINK("https://www.reddit.com/r/opendirectories/comments/g4h5zn", "OD of Computer Books")</f>
        <v>OD of Computer Books</v>
      </c>
      <c r="D143" t="s">
        <v>90</v>
      </c>
    </row>
    <row r="144" spans="1:5" x14ac:dyDescent="0.2">
      <c r="A144" t="str">
        <f>HYPERLINK("http://ghp.papnet.eu", "http://ghp.papnet.eu")</f>
        <v>http://ghp.papnet.eu</v>
      </c>
      <c r="B144" t="s">
        <v>5</v>
      </c>
      <c r="C144" t="str">
        <f>HYPERLINK("https://www.reddit.com/r/opendirectories/comments/67czhe", "Some German flicks")</f>
        <v>Some German flicks</v>
      </c>
      <c r="D144" t="s">
        <v>604</v>
      </c>
      <c r="E144" t="s">
        <v>605</v>
      </c>
    </row>
    <row r="145" spans="1:5" x14ac:dyDescent="0.2">
      <c r="A145" t="str">
        <f>HYPERLINK("http://www.shmygelskyy.name", "http://www.shmygelskyy.name")</f>
        <v>http://www.shmygelskyy.name</v>
      </c>
      <c r="B145" t="s">
        <v>5</v>
      </c>
      <c r="C145" t="str">
        <f>HYPERLINK("https://www.reddit.com/r/opendirectories/comments/fpwn1t", "Index of Movies,mostly bluray.")</f>
        <v>Index of Movies,mostly bluray.</v>
      </c>
      <c r="D145" t="s">
        <v>318</v>
      </c>
      <c r="E145" t="s">
        <v>14</v>
      </c>
    </row>
    <row r="146" spans="1:5" x14ac:dyDescent="0.2">
      <c r="A146" t="str">
        <f>HYPERLINK("http://ielts-house.net/Ebook", "http://ielts-house.net/Ebook")</f>
        <v>http://ielts-house.net/Ebook</v>
      </c>
      <c r="B146" t="s">
        <v>5</v>
      </c>
      <c r="C146" t="str">
        <f>HYPERLINK("https://www.reddit.com/r/opendirectories/comments/f22t5f", "Ebooks about Learning English (Reading, Writing, Grammar, Vocab)")</f>
        <v>Ebooks about Learning English (Reading, Writing, Grammar, Vocab)</v>
      </c>
      <c r="D146" t="s">
        <v>652</v>
      </c>
      <c r="E146" t="s">
        <v>14</v>
      </c>
    </row>
    <row r="147" spans="1:5" x14ac:dyDescent="0.2">
      <c r="A147" t="str">
        <f>HYPERLINK("https://ebook-mecca.com/ebooks", "https://ebook-mecca.com/ebooks")</f>
        <v>https://ebook-mecca.com/ebooks</v>
      </c>
      <c r="B147" t="s">
        <v>5</v>
      </c>
      <c r="C147" t="str">
        <f>HYPERLINK("https://www.reddit.com/r/opendirectories/comments/f22lbe", "Ebook Mecca - Seems true to its name")</f>
        <v>Ebook Mecca - Seems true to its name</v>
      </c>
      <c r="D147" t="s">
        <v>652</v>
      </c>
    </row>
    <row r="148" spans="1:5" x14ac:dyDescent="0.2">
      <c r="A148" t="str">
        <f>HYPERLINK("http://www.q17.akylax.com", "http://www.q17.akylax.com")</f>
        <v>http://www.q17.akylax.com</v>
      </c>
      <c r="B148" t="s">
        <v>5</v>
      </c>
      <c r="C148" t="str">
        <f>HYPERLINK("https://www.reddit.com/r/opendirectories/comments/exioed", "Books - Fiction -Epub")</f>
        <v>Books - Fiction -Epub</v>
      </c>
      <c r="D148" t="s">
        <v>486</v>
      </c>
    </row>
    <row r="149" spans="1:5" x14ac:dyDescent="0.2">
      <c r="A149" t="str">
        <f>HYPERLINK("http://fringe.davesource.com", "http://fringe.davesource.com")</f>
        <v>http://fringe.davesource.com</v>
      </c>
      <c r="B149" t="s">
        <v>5</v>
      </c>
      <c r="C149" t="str">
        <f>HYPERLINK("https://www.reddit.com/r/opendirectories/comments/8tprou", "I'm back again with the HAM!")</f>
        <v>I'm back again with the HAM!</v>
      </c>
      <c r="D149" t="s">
        <v>533</v>
      </c>
    </row>
    <row r="150" spans="1:5" x14ac:dyDescent="0.2">
      <c r="A150" t="str">
        <f>HYPERLINK("http://www.dblab.ntua.gr/~gtsat/collection", "http://www.dblab.ntua.gr/~gtsat/collection")</f>
        <v>http://www.dblab.ntua.gr/~gtsat/collection</v>
      </c>
      <c r="B150" t="s">
        <v>5</v>
      </c>
      <c r="C150" t="str">
        <f>HYPERLINK("https://www.reddit.com/r/opendirectories/comments/60wrph", "Collection of computer science/information theory books (machine learning, data streams, algorithms, etc.)")</f>
        <v>Collection of computer science/information theory books (machine learning, data streams, algorithms, etc.)</v>
      </c>
      <c r="D150" t="s">
        <v>321</v>
      </c>
    </row>
    <row r="151" spans="1:5" x14ac:dyDescent="0.2">
      <c r="A151" t="str">
        <f>HYPERLINK("http://parmasoft2.persiangig.com", "http://parmasoft2.persiangig.com")</f>
        <v>http://parmasoft2.persiangig.com</v>
      </c>
      <c r="B151" t="s">
        <v>5</v>
      </c>
      <c r="C151" t="str">
        <f>HYPERLINK("https://www.reddit.com/r/opendirectories/comments/eqbb7r", "Ok, now these should count as actual ODs I guess...")</f>
        <v>Ok, now these should count as actual ODs I guess...</v>
      </c>
      <c r="D151" t="s">
        <v>322</v>
      </c>
    </row>
    <row r="152" spans="1:5" x14ac:dyDescent="0.2">
      <c r="A152" t="str">
        <f>HYPERLINK("http://www.lesatkins.com/books/epubfiles", "http://www.lesatkins.com/books/epubfiles")</f>
        <v>http://www.lesatkins.com/books/epubfiles</v>
      </c>
      <c r="B152" t="s">
        <v>5</v>
      </c>
      <c r="C152" t="str">
        <f>HYPERLINK("https://www.reddit.com/r/opendirectories/comments/eike1u", "Some random Ebooks found through GoogleDorks")</f>
        <v>Some random Ebooks found through GoogleDorks</v>
      </c>
      <c r="D152" t="s">
        <v>610</v>
      </c>
    </row>
    <row r="153" spans="1:5" x14ac:dyDescent="0.2">
      <c r="A153" t="str">
        <f>HYPERLINK("http://biblioteca2.ucab.edu.ve/anexos", "http://biblioteca2.ucab.edu.ve/anexos")</f>
        <v>http://biblioteca2.ucab.edu.ve/anexos</v>
      </c>
      <c r="B153" t="s">
        <v>5</v>
      </c>
      <c r="C153" t="str">
        <f>HYPERLINK("https://www.reddit.com/r/opendirectories/comments/ef3s4u", "Some books in different languages (english, dutch, italian, ...) I just discovered")</f>
        <v>Some books in different languages (english, dutch, italian, ...) I just discovered</v>
      </c>
      <c r="D153" t="s">
        <v>600</v>
      </c>
      <c r="E153" t="s">
        <v>601</v>
      </c>
    </row>
    <row r="154" spans="1:5" x14ac:dyDescent="0.2">
      <c r="A154" t="str">
        <f>HYPERLINK("http://www.trickster.org/speranza/podfic", "http://www.trickster.org/speranza/podfic")</f>
        <v>http://www.trickster.org/speranza/podfic</v>
      </c>
      <c r="B154" t="s">
        <v>5</v>
      </c>
      <c r="C154" t="str">
        <f>HYPERLINK("https://www.reddit.com/r/opendirectories/comments/eahp5q", "Short stories links in too level")</f>
        <v>Short stories links in too level</v>
      </c>
      <c r="D154" t="s">
        <v>100</v>
      </c>
    </row>
    <row r="155" spans="1:5" x14ac:dyDescent="0.2">
      <c r="A155" t="str">
        <f>HYPERLINK("http://37.156.146.163", "http://37.156.146.163")</f>
        <v>http://37.156.146.163</v>
      </c>
      <c r="B155" t="s">
        <v>5</v>
      </c>
      <c r="C155" t="str">
        <f>HYPERLINK("https://www.reddit.com/r/opendirectories/comments/dwultc", "Mixed IT stuff - software, books, video courses")</f>
        <v>Mixed IT stuff - software, books, video courses</v>
      </c>
      <c r="D155" t="s">
        <v>325</v>
      </c>
    </row>
    <row r="156" spans="1:5" x14ac:dyDescent="0.2">
      <c r="A156" t="str">
        <f>HYPERLINK("http://www.pauladaunt.com/books", "http://www.pauladaunt.com/books")</f>
        <v>http://www.pauladaunt.com/books</v>
      </c>
      <c r="B156" t="s">
        <v>5</v>
      </c>
      <c r="C156" t="str">
        <f>HYPERLINK("https://www.reddit.com/r/opendirectories/comments/dqa0ts", "Conspiracy theory books")</f>
        <v>Conspiracy theory books</v>
      </c>
      <c r="D156" t="s">
        <v>111</v>
      </c>
    </row>
    <row r="157" spans="1:5" x14ac:dyDescent="0.2">
      <c r="A157" t="str">
        <f>HYPERLINK("https://users.du.se/~hjo/cs", "https://users.du.se/~hjo/cs")</f>
        <v>https://users.du.se/~hjo/cs</v>
      </c>
      <c r="B157" t="s">
        <v>5</v>
      </c>
      <c r="C157" t="str">
        <f>HYPERLINK("https://www.reddit.com/r/opendirectories/comments/dbh9ya", "Various PDF (and TXT) book resources.")</f>
        <v>Various PDF (and TXT) book resources.</v>
      </c>
      <c r="D157" t="s">
        <v>488</v>
      </c>
    </row>
    <row r="158" spans="1:5" x14ac:dyDescent="0.2">
      <c r="A158" t="str">
        <f>HYPERLINK("http://www.issp.ac.ru/ebooks", "http://www.issp.ac.ru/ebooks")</f>
        <v>http://www.issp.ac.ru/ebooks</v>
      </c>
      <c r="B158" t="s">
        <v>5</v>
      </c>
      <c r="C158" t="str">
        <f>HYPERLINK("https://www.reddit.com/r/opendirectories/comments/dbh9ya", "Various PDF (and TXT) book resources.")</f>
        <v>Various PDF (and TXT) book resources.</v>
      </c>
      <c r="D158" t="s">
        <v>488</v>
      </c>
    </row>
    <row r="159" spans="1:5" x14ac:dyDescent="0.2">
      <c r="A159" t="str">
        <f>HYPERLINK("http://freeclassicaudiobooks.com/audiobooks/authors", "http://freeclassicaudiobooks.com/audiobooks/authors")</f>
        <v>http://freeclassicaudiobooks.com/audiobooks/authors</v>
      </c>
      <c r="B159" t="s">
        <v>5</v>
      </c>
      <c r="C159" t="str">
        <f>HYPERLINK("https://www.reddit.com/r/opendirectories/comments/db2mfx", "Various audio books. Mostly older stuff")</f>
        <v>Various audio books. Mostly older stuff</v>
      </c>
      <c r="D159" t="s">
        <v>488</v>
      </c>
    </row>
    <row r="160" spans="1:5" x14ac:dyDescent="0.2">
      <c r="A160" t="str">
        <f>HYPERLINK("https://ftp.sunet.se", "https://ftp.sunet.se")</f>
        <v>https://ftp.sunet.se</v>
      </c>
      <c r="B160" t="s">
        <v>5</v>
      </c>
      <c r="C160" t="str">
        <f>HYPERLINK("https://www.reddit.com/r/opendirectories/comments/ak1xka", "Swedish Umea University ACC Club Directory. Has files going back to 94, games, classic anime, books, etc.")</f>
        <v>Swedish Umea University ACC Club Directory. Has files going back to 94, games, classic anime, books, etc.</v>
      </c>
      <c r="D160" t="s">
        <v>414</v>
      </c>
    </row>
    <row r="161" spans="1:5" x14ac:dyDescent="0.2">
      <c r="A161" t="str">
        <f>HYPERLINK("http://dziki.2box.pl", "http://dziki.2box.pl")</f>
        <v>http://dziki.2box.pl</v>
      </c>
      <c r="B161" t="s">
        <v>5</v>
      </c>
      <c r="C161" t="str">
        <f>HYPERLINK("https://www.reddit.com/r/opendirectories/comments/dawa4x", "Ebooks about Archery / Bow making / Fletching")</f>
        <v>Ebooks about Archery / Bow making / Fletching</v>
      </c>
      <c r="D161" t="s">
        <v>653</v>
      </c>
    </row>
    <row r="162" spans="1:5" x14ac:dyDescent="0.2">
      <c r="A162" t="str">
        <f>HYPERLINK("http://porn.jules-aubert.info", "http://porn.jules-aubert.info")</f>
        <v>http://porn.jules-aubert.info</v>
      </c>
      <c r="B162" t="s">
        <v>5</v>
      </c>
      <c r="C162" t="str">
        <f>HYPERLINK("https://www.reddit.com/r/opendirectories/comments/d3gkco", "Humble Bundle Ebook")</f>
        <v>Humble Bundle Ebook</v>
      </c>
      <c r="D162" t="s">
        <v>654</v>
      </c>
    </row>
    <row r="163" spans="1:5" x14ac:dyDescent="0.2">
      <c r="A163" t="str">
        <f>HYPERLINK("https://repo.zenk-security.com", "https://repo.zenk-security.com")</f>
        <v>https://repo.zenk-security.com</v>
      </c>
      <c r="B163" t="s">
        <v>5</v>
      </c>
      <c r="C163" t="str">
        <f>HYPERLINK("https://www.reddit.com/r/opendirectories/comments/7kawxt", "Hacking/Security and programming books in English and french (download the whole website with wget -m repo.zen...)")</f>
        <v>Hacking/Security and programming books in English and french (download the whole website with wget -m repo.zen...)</v>
      </c>
      <c r="D163" t="s">
        <v>655</v>
      </c>
      <c r="E163" t="s">
        <v>359</v>
      </c>
    </row>
    <row r="164" spans="1:5" x14ac:dyDescent="0.2">
      <c r="A164" t="str">
        <f>HYPERLINK("http://161.53.145.110", "http://161.53.145.110")</f>
        <v>http://161.53.145.110</v>
      </c>
      <c r="B164" t="s">
        <v>5</v>
      </c>
      <c r="C164" t="str">
        <f>HYPERLINK("https://www.reddit.com/r/opendirectories/comments/csvove", "Random full PDF's, and images of magazines mainly business and science journals")</f>
        <v>Random full PDF's, and images of magazines mainly business and science journals</v>
      </c>
      <c r="D164" t="s">
        <v>451</v>
      </c>
    </row>
    <row r="165" spans="1:5" x14ac:dyDescent="0.2">
      <c r="A165" t="str">
        <f>HYPERLINK("http://kacem.fr/public", "http://kacem.fr/public")</f>
        <v>http://kacem.fr/public</v>
      </c>
      <c r="B165" t="s">
        <v>5</v>
      </c>
      <c r="C165" t="str">
        <f>HYPERLINK("https://www.reddit.com/r/opendirectories/comments/crv4dz", "French/English scan")</f>
        <v>French/English scan</v>
      </c>
      <c r="D165" t="s">
        <v>124</v>
      </c>
      <c r="E165" t="s">
        <v>359</v>
      </c>
    </row>
    <row r="166" spans="1:5" x14ac:dyDescent="0.2">
      <c r="A166" t="str">
        <f>HYPERLINK("http://worms4.elewendyl.fr", "http://worms4.elewendyl.fr")</f>
        <v>http://worms4.elewendyl.fr</v>
      </c>
      <c r="B166" t="s">
        <v>5</v>
      </c>
      <c r="C166" t="str">
        <f>HYPERLINK("https://www.reddit.com/r/opendirectories/comments/crv4dz", "French/English scan")</f>
        <v>French/English scan</v>
      </c>
      <c r="D166" t="s">
        <v>124</v>
      </c>
      <c r="E166" t="s">
        <v>359</v>
      </c>
    </row>
    <row r="167" spans="1:5" x14ac:dyDescent="0.2">
      <c r="A167" t="str">
        <f>HYPERLINK("http://pitofdespair.randominsanity.org/other", "http://pitofdespair.randominsanity.org/other")</f>
        <v>http://pitofdespair.randominsanity.org/other</v>
      </c>
      <c r="B167" t="s">
        <v>5</v>
      </c>
      <c r="C167" t="str">
        <f>HYPERLINK("https://www.reddit.com/r/opendirectories/comments/crv4dz", "French/English scan")</f>
        <v>French/English scan</v>
      </c>
      <c r="D167" t="s">
        <v>124</v>
      </c>
      <c r="E167" t="s">
        <v>359</v>
      </c>
    </row>
    <row r="168" spans="1:5" x14ac:dyDescent="0.2">
      <c r="A168" t="str">
        <f>HYPERLINK("http://worrydream.com/refs", "http://worrydream.com/refs")</f>
        <v>http://worrydream.com/refs</v>
      </c>
      <c r="B168" t="s">
        <v>5</v>
      </c>
      <c r="C168" t="str">
        <f>HYPERLINK("https://www.reddit.com/r/opendirectories/comments/4l7wup", "Books about technology and science")</f>
        <v>Books about technology and science</v>
      </c>
      <c r="D168" t="s">
        <v>614</v>
      </c>
    </row>
    <row r="169" spans="1:5" x14ac:dyDescent="0.2">
      <c r="A169" t="str">
        <f>HYPERLINK("http://library.bagrintsev.me", "http://library.bagrintsev.me")</f>
        <v>http://library.bagrintsev.me</v>
      </c>
      <c r="B169" t="s">
        <v>5</v>
      </c>
      <c r="C169" t="str">
        <f>HYPERLINK("https://www.reddit.com/r/opendirectories/comments/aql8wf", "Russian and English CompSci books")</f>
        <v>Russian and English CompSci books</v>
      </c>
      <c r="D169" t="s">
        <v>656</v>
      </c>
      <c r="E169" t="s">
        <v>156</v>
      </c>
    </row>
    <row r="170" spans="1:5" x14ac:dyDescent="0.2">
      <c r="A170" t="str">
        <f>HYPERLINK("http://yourmom.likesbuttse.xxx/stuff", "http://yourmom.likesbuttse.xxx/stuff")</f>
        <v>http://yourmom.likesbuttse.xxx/stuff</v>
      </c>
      <c r="B170" t="s">
        <v>5</v>
      </c>
      <c r="C170" t="str">
        <f>HYPERLINK("https://www.reddit.com/r/opendirectories/comments/akigdt", "{NSFW} Can't decide a Title [~10MB/s]")</f>
        <v>{NSFW} Can't decide a Title [~10MB/s]</v>
      </c>
      <c r="D170" t="s">
        <v>453</v>
      </c>
    </row>
    <row r="171" spans="1:5" x14ac:dyDescent="0.2">
      <c r="A171" t="str">
        <f>HYPERLINK("http://pacsteam.org/Shareware", "http://pacsteam.org/Shareware")</f>
        <v>http://pacsteam.org/Shareware</v>
      </c>
      <c r="B171" t="s">
        <v>5</v>
      </c>
      <c r="C171" t="str">
        <f>HYPERLINK("https://www.reddit.com/r/opendirectories/comments/adymcu", "Conspiracy(Vids,Books,Audio.) Also: AudioBooks, Games, Music, Futurama (7 seasons) and more..")</f>
        <v>Conspiracy(Vids,Books,Audio.) Also: AudioBooks, Games, Music, Futurama (7 seasons) and more..</v>
      </c>
      <c r="D171" t="s">
        <v>338</v>
      </c>
    </row>
    <row r="172" spans="1:5" x14ac:dyDescent="0.2">
      <c r="A172" t="str">
        <f>HYPERLINK("http://vedicilluminations.com/downloads", "http://vedicilluminations.com/downloads")</f>
        <v>http://vedicilluminations.com/downloads</v>
      </c>
      <c r="B172" t="s">
        <v>5</v>
      </c>
      <c r="C172" t="str">
        <f>HYPERLINK("https://www.reddit.com/r/opendirectories/comments/a6e2z2", "Books on Hinduism")</f>
        <v>Books on Hinduism</v>
      </c>
      <c r="D172" t="s">
        <v>540</v>
      </c>
    </row>
    <row r="173" spans="1:5" x14ac:dyDescent="0.2">
      <c r="A173" t="str">
        <f>HYPERLINK("https://media.musicasacra.com", "https://media.musicasacra.com")</f>
        <v>https://media.musicasacra.com</v>
      </c>
      <c r="B173" t="s">
        <v>5</v>
      </c>
      <c r="C173" t="str">
        <f>HYPERLINK("https://www.reddit.com/r/opendirectories/comments/a6c7ez", "Musicasacra: Index of /books")</f>
        <v>Musicasacra: Index of /books</v>
      </c>
      <c r="D173" t="s">
        <v>540</v>
      </c>
    </row>
    <row r="174" spans="1:5" x14ac:dyDescent="0.2">
      <c r="A174" t="str">
        <f>HYPERLINK("http://files.diydharma.org", "http://files.diydharma.org")</f>
        <v>http://files.diydharma.org</v>
      </c>
      <c r="B174" t="s">
        <v>5</v>
      </c>
      <c r="C174" t="str">
        <f>HYPERLINK("https://www.reddit.com/r/opendirectories/comments/9vb9m3", "Audibooks, Books, and Videos to to with Zen and Self-Sufficiency")</f>
        <v>Audibooks, Books, and Videos to to with Zen and Self-Sufficiency</v>
      </c>
      <c r="D174" t="s">
        <v>342</v>
      </c>
    </row>
    <row r="175" spans="1:5" x14ac:dyDescent="0.2">
      <c r="A175" t="str">
        <f>HYPERLINK("https://datapacket.com", "https://datapacket.com")</f>
        <v>https://datapacket.com</v>
      </c>
      <c r="B175" t="s">
        <v>5</v>
      </c>
      <c r="C175" t="str">
        <f>HYPERLINK("https://www.reddit.com/r/opendirectories/comments/92fnzh", "Revamped Fusker System - View Open Directory Images @ The-Eye")</f>
        <v>Revamped Fusker System - View Open Directory Images @ The-Eye</v>
      </c>
      <c r="D175" t="s">
        <v>161</v>
      </c>
    </row>
    <row r="176" spans="1:5" x14ac:dyDescent="0.2">
      <c r="A176" t="str">
        <f>HYPERLINK("http://chs63.net/2013", "http://chs63.net/2013")</f>
        <v>http://chs63.net/2013</v>
      </c>
      <c r="B176" t="s">
        <v>5</v>
      </c>
      <c r="C176" t="str">
        <f>HYPERLINK("https://www.reddit.com/r/opendirectories/comments/9tk7gf", "music (mostly) of all sorts ..")</f>
        <v>music (mostly) of all sorts ..</v>
      </c>
      <c r="D176" t="s">
        <v>543</v>
      </c>
    </row>
    <row r="177" spans="1:4" x14ac:dyDescent="0.2">
      <c r="A177" t="str">
        <f>HYPERLINK("http://markswist.com/markpersonal", "http://markswist.com/markpersonal")</f>
        <v>http://markswist.com/markpersonal</v>
      </c>
      <c r="B177" t="s">
        <v>5</v>
      </c>
      <c r="C177" t="str">
        <f>HYPERLINK("https://www.reddit.com/r/opendirectories/comments/9tk7gf", "music (mostly) of all sorts ..")</f>
        <v>music (mostly) of all sorts ..</v>
      </c>
      <c r="D177" t="s">
        <v>543</v>
      </c>
    </row>
    <row r="178" spans="1:4" x14ac:dyDescent="0.2">
      <c r="A178" t="str">
        <f>HYPERLINK("http://wilmingtonnetworks.ddns.net/music", "http://wilmingtonnetworks.ddns.net/music")</f>
        <v>http://wilmingtonnetworks.ddns.net/music</v>
      </c>
      <c r="B178" t="s">
        <v>5</v>
      </c>
      <c r="C178" t="str">
        <f>HYPERLINK("https://www.reddit.com/r/opendirectories/comments/9tk7gf", "music (mostly) of all sorts ..")</f>
        <v>music (mostly) of all sorts ..</v>
      </c>
      <c r="D178" t="s">
        <v>543</v>
      </c>
    </row>
    <row r="179" spans="1:4" x14ac:dyDescent="0.2">
      <c r="A179" t="str">
        <f>HYPERLINK("http://www.gizard.org/goother", "http://www.gizard.org/goother")</f>
        <v>http://www.gizard.org/goother</v>
      </c>
      <c r="B179" t="s">
        <v>5</v>
      </c>
      <c r="C179" t="str">
        <f>HYPERLINK("https://www.reddit.com/r/opendirectories/comments/8knt70", "music and comedy albums (eg monty python, national lampoon)-some stuff zipped+some programs")</f>
        <v>music and comedy albums (eg monty python, national lampoon)-some stuff zipped+some programs</v>
      </c>
      <c r="D179" t="s">
        <v>496</v>
      </c>
    </row>
    <row r="180" spans="1:4" x14ac:dyDescent="0.2">
      <c r="A180" t="str">
        <f>HYPERLINK("http://www.mcrfb.com/files", "http://www.mcrfb.com/files")</f>
        <v>http://www.mcrfb.com/files</v>
      </c>
      <c r="B180" t="s">
        <v>5</v>
      </c>
      <c r="C180" t="str">
        <f>HYPERLINK("https://www.reddit.com/r/opendirectories/comments/9tk7gf", "music (mostly) of all sorts ..")</f>
        <v>music (mostly) of all sorts ..</v>
      </c>
      <c r="D180" t="s">
        <v>543</v>
      </c>
    </row>
    <row r="181" spans="1:4" x14ac:dyDescent="0.2">
      <c r="A181" t="str">
        <f>HYPERLINK("http://www.cs.brandeis.edu/~storer", "http://www.cs.brandeis.edu/~storer")</f>
        <v>http://www.cs.brandeis.edu/~storer</v>
      </c>
      <c r="B181" t="s">
        <v>5</v>
      </c>
      <c r="C181" t="str">
        <f>HYPERLINK("https://www.reddit.com/r/opendirectories/comments/9h03d1", "Books about puzzles (burr puzzles and the like)")</f>
        <v>Books about puzzles (burr puzzles and the like)</v>
      </c>
      <c r="D181" t="s">
        <v>657</v>
      </c>
    </row>
    <row r="182" spans="1:4" x14ac:dyDescent="0.2">
      <c r="A182" t="str">
        <f>HYPERLINK("http://sarzaminezaban.com/wp-content/uploads", "http://sarzaminezaban.com/wp-content/uploads")</f>
        <v>http://sarzaminezaban.com/wp-content/uploads</v>
      </c>
      <c r="B182" t="s">
        <v>5</v>
      </c>
      <c r="C182" t="str">
        <f>HYPERLINK("https://www.reddit.com/r/opendirectories/comments/9fas32", "Collection of ebooks among other things..not sure what to make of the other things in this directory.")</f>
        <v>Collection of ebooks among other things..not sure what to make of the other things in this directory.</v>
      </c>
      <c r="D182" t="s">
        <v>658</v>
      </c>
    </row>
    <row r="183" spans="1:4" x14ac:dyDescent="0.2">
      <c r="A183" t="str">
        <f>HYPERLINK("http://razorlan.info/files", "http://razorlan.info/files")</f>
        <v>http://razorlan.info/files</v>
      </c>
      <c r="B183" t="s">
        <v>5</v>
      </c>
      <c r="C183" t="str">
        <f>HYPERLINK("https://www.reddit.com/r/opendirectories/comments/940yup", "Lod of the Rings Audiobook more on the PD")</f>
        <v>Lod of the Rings Audiobook more on the PD</v>
      </c>
      <c r="D183" t="s">
        <v>577</v>
      </c>
    </row>
    <row r="184" spans="1:4" x14ac:dyDescent="0.2">
      <c r="A184" t="str">
        <f>HYPERLINK("http://www.magicgatebg.com/Books", "http://www.magicgatebg.com/Books")</f>
        <v>http://www.magicgatebg.com/Books</v>
      </c>
      <c r="B184" t="s">
        <v>5</v>
      </c>
      <c r="C184" t="str">
        <f>HYPERLINK("https://www.reddit.com/r/opendirectories/comments/8rorym", "More books on the occult")</f>
        <v>More books on the occult</v>
      </c>
      <c r="D184" t="s">
        <v>167</v>
      </c>
    </row>
    <row r="185" spans="1:4" x14ac:dyDescent="0.2">
      <c r="A185" t="str">
        <f>HYPERLINK("http://www.4newmum.com/pdf", "http://www.4newmum.com/pdf")</f>
        <v>http://www.4newmum.com/pdf</v>
      </c>
      <c r="B185" t="s">
        <v>5</v>
      </c>
      <c r="C185" t="str">
        <f>HYPERLINK("https://www.reddit.com/r/opendirectories/comments/8qespv", "Children's Books (PDF)")</f>
        <v>Children's Books (PDF)</v>
      </c>
      <c r="D185" t="s">
        <v>624</v>
      </c>
    </row>
    <row r="186" spans="1:4" x14ac:dyDescent="0.2">
      <c r="A186" t="str">
        <f>HYPERLINK("http://www.hungry-ewok.ru/sw", "http://www.hungry-ewok.ru/sw")</f>
        <v>http://www.hungry-ewok.ru/sw</v>
      </c>
      <c r="B186" t="s">
        <v>5</v>
      </c>
      <c r="C186" t="str">
        <f>HYPERLINK("https://www.reddit.com/r/opendirectories/comments/8lxzhj", "Very Large collection of Star Wars Books-Short Stories-Novels-Roleplaying- More in the epub directory")</f>
        <v>Very Large collection of Star Wars Books-Short Stories-Novels-Roleplaying- More in the epub directory</v>
      </c>
      <c r="D186" t="s">
        <v>625</v>
      </c>
    </row>
    <row r="187" spans="1:4" x14ac:dyDescent="0.2">
      <c r="A187" t="str">
        <f>HYPERLINK("http://people.dm.unipi.it/caboara", "http://people.dm.unipi.it/caboara")</f>
        <v>http://people.dm.unipi.it/caboara</v>
      </c>
      <c r="B187" t="s">
        <v>5</v>
      </c>
      <c r="C187" t="str">
        <f>HYPERLINK("https://www.reddit.com/r/opendirectories/comments/8kjwxs", "[BOOKS] Grandville Comics - Volumes 01-04 - Dark Horse (Digital) (CBR)")</f>
        <v>[BOOKS] Grandville Comics - Volumes 01-04 - Dark Horse (Digital) (CBR)</v>
      </c>
      <c r="D187" t="s">
        <v>496</v>
      </c>
    </row>
    <row r="188" spans="1:4" x14ac:dyDescent="0.2">
      <c r="A188" t="str">
        <f>HYPERLINK("http://erewhon.superkuh.com/library", "http://erewhon.superkuh.com/library")</f>
        <v>http://erewhon.superkuh.com/library</v>
      </c>
      <c r="B188" t="s">
        <v>5</v>
      </c>
      <c r="C188" t="str">
        <f>HYPERLINK("https://www.reddit.com/r/opendirectories/comments/81jq9e", "[BOOKS] A Library of Various eBooks (Computing, Science, Mathematics etc.)")</f>
        <v>[BOOKS] A Library of Various eBooks (Computing, Science, Mathematics etc.)</v>
      </c>
      <c r="D188" t="s">
        <v>659</v>
      </c>
    </row>
    <row r="189" spans="1:4" x14ac:dyDescent="0.2">
      <c r="A189" t="str">
        <f>HYPERLINK("http://www.enryo.ro/carti", "http://www.enryo.ro/carti")</f>
        <v>http://www.enryo.ro/carti</v>
      </c>
      <c r="B189" t="s">
        <v>5</v>
      </c>
      <c r="C189" t="str">
        <f>HYPERLINK("https://www.reddit.com/r/opendirectories/comments/8ezfeo", "Some origami books, along with martial arts books. PD is a karate club site.")</f>
        <v>Some origami books, along with martial arts books. PD is a karate club site.</v>
      </c>
      <c r="D189" t="s">
        <v>660</v>
      </c>
    </row>
    <row r="190" spans="1:4" x14ac:dyDescent="0.2">
      <c r="A190" t="str">
        <f>HYPERLINK("https://tentacle.net/~prophet", "https://tentacle.net/~prophet")</f>
        <v>https://tentacle.net/~prophet</v>
      </c>
      <c r="B190" t="s">
        <v>5</v>
      </c>
      <c r="C190" t="str">
        <f>HYPERLINK("https://www.reddit.com/r/opendirectories/comments/8andm8", "Raspberry pi books")</f>
        <v>Raspberry pi books</v>
      </c>
      <c r="D190" t="s">
        <v>661</v>
      </c>
    </row>
    <row r="191" spans="1:4" x14ac:dyDescent="0.2">
      <c r="A191" t="str">
        <f>HYPERLINK("https://universalflowuniversity.com/Books", "https://universalflowuniversity.com/Books")</f>
        <v>https://universalflowuniversity.com/Books</v>
      </c>
      <c r="B191" t="s">
        <v>5</v>
      </c>
      <c r="C191" t="str">
        <f>HYPERLINK("https://www.reddit.com/r/opendirectories/comments/82ufc8", "Another Collection of Books - Tech/AI/Hypnosis/Spiritual Philosophy/Misc")</f>
        <v>Another Collection of Books - Tech/AI/Hypnosis/Spiritual Philosophy/Misc</v>
      </c>
      <c r="D191" t="s">
        <v>662</v>
      </c>
    </row>
    <row r="192" spans="1:4" x14ac:dyDescent="0.2">
      <c r="A192" t="str">
        <f>HYPERLINK("https://10gbps.io", "https://10gbps.io")</f>
        <v>https://10gbps.io</v>
      </c>
      <c r="B192" t="s">
        <v>5</v>
      </c>
      <c r="C192" t="str">
        <f>HYPERLINK("https://www.reddit.com/r/opendirectories/comments/7gs0f2", "Google Index Search Engine @ The-Eye")</f>
        <v>Google Index Search Engine @ The-Eye</v>
      </c>
      <c r="D192" t="s">
        <v>346</v>
      </c>
    </row>
    <row r="193" spans="1:5" x14ac:dyDescent="0.2">
      <c r="A193" t="str">
        <f>HYPERLINK("http://www.downloads.imune.net/medicalbooks", "http://www.downloads.imune.net/medicalbooks")</f>
        <v>http://www.downloads.imune.net/medicalbooks</v>
      </c>
      <c r="B193" t="s">
        <v>5</v>
      </c>
      <c r="C193" t="str">
        <f>HYPERLINK("https://www.reddit.com/r/opendirectories/comments/7cvuf0", "Medical eBooks")</f>
        <v>Medical eBooks</v>
      </c>
      <c r="D193" t="s">
        <v>663</v>
      </c>
    </row>
    <row r="194" spans="1:5" x14ac:dyDescent="0.2">
      <c r="A194" t="str">
        <f>HYPERLINK("http://universalflowuniversity.com/Books", "http://universalflowuniversity.com/Books")</f>
        <v>http://universalflowuniversity.com/Books</v>
      </c>
      <c r="B194" t="s">
        <v>5</v>
      </c>
      <c r="C194" t="str">
        <f>HYPERLINK("https://www.reddit.com/r/opendirectories/comments/7m3pq1", "Lots of eBooks")</f>
        <v>Lots of eBooks</v>
      </c>
      <c r="D194" t="s">
        <v>664</v>
      </c>
    </row>
    <row r="195" spans="1:5" x14ac:dyDescent="0.2">
      <c r="A195" t="str">
        <f>HYPERLINK("http://www.classiccmp.org/cini/pdf", "http://www.classiccmp.org/cini/pdf")</f>
        <v>http://www.classiccmp.org/cini/pdf</v>
      </c>
      <c r="B195" t="s">
        <v>5</v>
      </c>
      <c r="C195" t="str">
        <f>HYPERLINK("https://www.reddit.com/r/opendirectories/comments/7lskac", "[BOOKS] MICRO Magazine - Volumes 01-76 (1977-1984) (PDF Scans)")</f>
        <v>[BOOKS] MICRO Magazine - Volumes 01-76 (1977-1984) (PDF Scans)</v>
      </c>
      <c r="D195" t="s">
        <v>627</v>
      </c>
    </row>
    <row r="196" spans="1:5" x14ac:dyDescent="0.2">
      <c r="A196" t="str">
        <f>HYPERLINK("http://www.classiccmp.org/cpmarchives", "http://www.classiccmp.org/cpmarchives")</f>
        <v>http://www.classiccmp.org/cpmarchives</v>
      </c>
      <c r="B196" t="s">
        <v>5</v>
      </c>
      <c r="C196" t="str">
        <f>HYPERLINK("https://www.reddit.com/r/opendirectories/comments/7lihbq", "[BOOKS] An Archive of TRS-80 Computer Books, Magazines &amp;amp; Manuals (1970s-1980s)")</f>
        <v>[BOOKS] An Archive of TRS-80 Computer Books, Magazines &amp;amp; Manuals (1970s-1980s)</v>
      </c>
      <c r="D196" t="s">
        <v>349</v>
      </c>
    </row>
    <row r="197" spans="1:5" x14ac:dyDescent="0.2">
      <c r="A197" t="str">
        <f>HYPERLINK("http://members.tranquility.net/~rwinkel/stuff", "http://members.tranquility.net/~rwinkel/stuff")</f>
        <v>http://members.tranquility.net/~rwinkel/stuff</v>
      </c>
      <c r="B197" t="s">
        <v>5</v>
      </c>
      <c r="C197" t="str">
        <f>HYPERLINK("https://www.reddit.com/r/opendirectories/comments/7ia9qf", "Library of banned books and audiobooks")</f>
        <v>Library of banned books and audiobooks</v>
      </c>
      <c r="D197" t="s">
        <v>665</v>
      </c>
    </row>
    <row r="198" spans="1:5" x14ac:dyDescent="0.2">
      <c r="A198" t="str">
        <f>HYPERLINK("http://docs.ludost.net", "http://docs.ludost.net")</f>
        <v>http://docs.ludost.net</v>
      </c>
      <c r="B198" t="s">
        <v>5</v>
      </c>
      <c r="C198" t="str">
        <f>HYPERLINK("https://www.reddit.com/r/opendirectories/comments/7i4zxb", "Ebooks and stuff")</f>
        <v>Ebooks and stuff</v>
      </c>
      <c r="D198" t="s">
        <v>665</v>
      </c>
    </row>
    <row r="199" spans="1:5" x14ac:dyDescent="0.2">
      <c r="A199" t="str">
        <f>HYPERLINK("http://www.serenitystreetnews.com/HERSTORY%20CRAMNOTES", "http://www.serenitystreetnews.com/HERSTORY%20CRAMNOTES")</f>
        <v>http://www.serenitystreetnews.com/HERSTORY%20CRAMNOTES</v>
      </c>
      <c r="B199" t="s">
        <v>5</v>
      </c>
      <c r="C199" t="str">
        <f>HYPERLINK("https://www.reddit.com/r/opendirectories/comments/7gvkr9", "eBooks and lots of interesting stuff in PD")</f>
        <v>eBooks and lots of interesting stuff in PD</v>
      </c>
      <c r="D199" t="s">
        <v>346</v>
      </c>
    </row>
    <row r="200" spans="1:5" x14ac:dyDescent="0.2">
      <c r="A200" t="str">
        <f>HYPERLINK("http://www.vanguardnewsnetwork.com/Massive", "http://www.vanguardnewsnetwork.com/Massive")</f>
        <v>http://www.vanguardnewsnetwork.com/Massive</v>
      </c>
      <c r="B200" t="s">
        <v>5</v>
      </c>
      <c r="C200" t="str">
        <f>HYPERLINK("https://www.reddit.com/r/opendirectories/comments/7e9bip", "Bizarre directory filled with antisemitic books from a Neo-Nazi website.")</f>
        <v>Bizarre directory filled with antisemitic books from a Neo-Nazi website.</v>
      </c>
      <c r="D200" t="s">
        <v>666</v>
      </c>
    </row>
    <row r="201" spans="1:5" x14ac:dyDescent="0.2">
      <c r="A201" t="str">
        <f>HYPERLINK("http://ezine.nitroexpress.info", "http://ezine.nitroexpress.info")</f>
        <v>http://ezine.nitroexpress.info</v>
      </c>
      <c r="B201" t="s">
        <v>5</v>
      </c>
      <c r="C201" t="str">
        <f>HYPERLINK("https://www.reddit.com/r/opendirectories/comments/6gh6tc", "[nsfw] nudies, scanned books and other junk")</f>
        <v>[nsfw] nudies, scanned books and other junk</v>
      </c>
      <c r="D201" t="s">
        <v>197</v>
      </c>
    </row>
    <row r="202" spans="1:5" x14ac:dyDescent="0.2">
      <c r="A202" t="str">
        <f>HYPERLINK("http://members.iinet.com.au/~stepho", "http://members.iinet.com.au/~stepho")</f>
        <v>http://members.iinet.com.au/~stepho</v>
      </c>
      <c r="B202" t="s">
        <v>5</v>
      </c>
      <c r="C202" t="str">
        <f>HYPERLINK("https://www.reddit.com/r/opendirectories/comments/6a8lk9", "Toyota docs")</f>
        <v>Toyota docs</v>
      </c>
      <c r="D202" t="s">
        <v>426</v>
      </c>
    </row>
    <row r="203" spans="1:5" x14ac:dyDescent="0.2">
      <c r="A203" t="str">
        <f>HYPERLINK("https://www.citroen-klub.si/CitDocs", "https://www.citroen-klub.si/CitDocs")</f>
        <v>https://www.citroen-klub.si/CitDocs</v>
      </c>
      <c r="B203" t="s">
        <v>5</v>
      </c>
      <c r="C203" t="str">
        <f>HYPERLINK("https://www.reddit.com/r/opendirectories/comments/62m02y", "Vintage Citroen Repair Guides")</f>
        <v>Vintage Citroen Repair Guides</v>
      </c>
      <c r="D203" t="s">
        <v>578</v>
      </c>
    </row>
    <row r="204" spans="1:5" x14ac:dyDescent="0.2">
      <c r="A204" t="str">
        <f>HYPERLINK("http://lira.epac.to/DOCS-TECH", "http://lira.epac.to/DOCS-TECH")</f>
        <v>http://lira.epac.to/DOCS-TECH</v>
      </c>
      <c r="B204" t="s">
        <v>5</v>
      </c>
      <c r="C204" t="str">
        <f>HYPERLINK("https://www.reddit.com/r/opendirectories/comments/603di6", "Hacking books, some great stuff!")</f>
        <v>Hacking books, some great stuff!</v>
      </c>
      <c r="D204" t="s">
        <v>667</v>
      </c>
    </row>
    <row r="205" spans="1:5" x14ac:dyDescent="0.2">
      <c r="A205" t="str">
        <f>HYPERLINK("http://bitsavers.trailing-edge.com/pdf", "http://bitsavers.trailing-edge.com/pdf")</f>
        <v>http://bitsavers.trailing-edge.com/pdf</v>
      </c>
      <c r="B205" t="s">
        <v>5</v>
      </c>
      <c r="C205" t="str">
        <f>HYPERLINK("https://www.reddit.com/r/opendirectories/comments/5tsl85", "Archive of PDFs of computer technical documentations and books from the late 60s - mid 90s.")</f>
        <v>Archive of PDFs of computer technical documentations and books from the late 60s - mid 90s.</v>
      </c>
      <c r="D205" t="s">
        <v>631</v>
      </c>
    </row>
    <row r="206" spans="1:5" x14ac:dyDescent="0.2">
      <c r="A206" t="str">
        <f>HYPERLINK("http://the-sinner.net/download", "http://the-sinner.net/download")</f>
        <v>http://the-sinner.net/download</v>
      </c>
      <c r="B206" t="s">
        <v>5</v>
      </c>
      <c r="C206" t="str">
        <f>HYPERLINK("https://www.reddit.com/r/opendirectories/comments/5s7vpy", "A mixed bag of books , images and videos , mostly Russian folder names but very interesting stuff.")</f>
        <v>A mixed bag of books , images and videos , mostly Russian folder names but very interesting stuff.</v>
      </c>
      <c r="D206" t="s">
        <v>353</v>
      </c>
      <c r="E206" t="s">
        <v>8</v>
      </c>
    </row>
    <row r="207" spans="1:5" x14ac:dyDescent="0.2">
      <c r="A207" t="str">
        <f>HYPERLINK("http://virtual.tehinterweb.net", "http://virtual.tehinterweb.net")</f>
        <v>http://virtual.tehinterweb.net</v>
      </c>
      <c r="B207" t="s">
        <v>5</v>
      </c>
      <c r="C207" t="str">
        <f>HYPERLINK("https://www.reddit.com/r/opendirectories/comments/5k7p2m", "Books By Christopher Moore (under folder labeled for mom) some other random files.")</f>
        <v>Books By Christopher Moore (under folder labeled for mom) some other random files.</v>
      </c>
      <c r="D207" t="s">
        <v>668</v>
      </c>
    </row>
    <row r="208" spans="1:5" x14ac:dyDescent="0.2">
      <c r="A208" t="str">
        <f>HYPERLINK("http://www.qsl.net/y/yo4tnv//docs", "http://www.qsl.net/y/yo4tnv//docs")</f>
        <v>http://www.qsl.net/y/yo4tnv//docs</v>
      </c>
      <c r="B208" t="s">
        <v>5</v>
      </c>
      <c r="C208" t="str">
        <f>HYPERLINK("https://www.reddit.com/r/opendirectories/comments/5ch4oq", "Books and pdfs of computer related stuff-security")</f>
        <v>Books and pdfs of computer related stuff-security</v>
      </c>
      <c r="D208" t="s">
        <v>632</v>
      </c>
    </row>
    <row r="209" spans="1:5" x14ac:dyDescent="0.2">
      <c r="A209" t="str">
        <f>HYPERLINK("http://diliev.com", "http://diliev.com")</f>
        <v>http://diliev.com</v>
      </c>
      <c r="B209" t="s">
        <v>5</v>
      </c>
      <c r="C209" t="str">
        <f>HYPERLINK("https://www.reddit.com/r/opendirectories/comments/5avyo7", "Electrical &amp;amp; Computer Sci books")</f>
        <v>Electrical &amp;amp; Computer Sci books</v>
      </c>
      <c r="D209" t="s">
        <v>633</v>
      </c>
    </row>
    <row r="210" spans="1:5" x14ac:dyDescent="0.2">
      <c r="A210" t="str">
        <f>HYPERLINK("http://leafo.net", "http://leafo.net")</f>
        <v>http://leafo.net</v>
      </c>
      <c r="B210" t="s">
        <v>5</v>
      </c>
      <c r="C210" t="str">
        <f>HYPERLINK("https://www.reddit.com/r/opendirectories/comments/4vstfg", "Music, pictures, a handy book about how to say no to drugs. The parent directory contains some really weird stuff.")</f>
        <v>Music, pictures, a handy book about how to say no to drugs. The parent directory contains some really weird stuff.</v>
      </c>
      <c r="D210" t="s">
        <v>564</v>
      </c>
    </row>
    <row r="211" spans="1:5" x14ac:dyDescent="0.2">
      <c r="A211" t="str">
        <f>HYPERLINK("http://www.dhammatalks.net", "http://www.dhammatalks.net")</f>
        <v>http://www.dhammatalks.net</v>
      </c>
      <c r="B211" t="s">
        <v>5</v>
      </c>
      <c r="C211" t="str">
        <f>HYPERLINK("https://www.reddit.com/r/opendirectories/comments/4dsij3", "Some Buddhist literature in mobi and epub format")</f>
        <v>Some Buddhist literature in mobi and epub format</v>
      </c>
      <c r="D211" t="s">
        <v>638</v>
      </c>
    </row>
    <row r="212" spans="1:5" x14ac:dyDescent="0.2">
      <c r="A212" t="str">
        <f>HYPERLINK("http://beq.ebooksgratuits.com/vents-epub", "http://beq.ebooksgratuits.com/vents-epub")</f>
        <v>http://beq.ebooksgratuits.com/vents-epub</v>
      </c>
      <c r="B212" t="s">
        <v>5</v>
      </c>
      <c r="C212" t="str">
        <f>HYPERLINK("https://www.reddit.com/r/opendirectories/comments/4dqg2c", "Epubs in french. Mostly classics")</f>
        <v>Epubs in french. Mostly classics</v>
      </c>
      <c r="D212" t="s">
        <v>638</v>
      </c>
      <c r="E212" t="s">
        <v>51</v>
      </c>
    </row>
    <row r="213" spans="1:5" x14ac:dyDescent="0.2">
      <c r="A213" t="str">
        <f>HYPERLINK("http://federaljack.com/mindcontrol", "http://federaljack.com/mindcontrol")</f>
        <v>http://federaljack.com/mindcontrol</v>
      </c>
      <c r="B213" t="s">
        <v>5</v>
      </c>
      <c r="C213" t="str">
        <f>HYPERLINK("https://www.reddit.com/r/opendirectories/comments/4cqf65", "Videos, audio and books on.. Mind control!")</f>
        <v>Videos, audio and books on.. Mind control!</v>
      </c>
      <c r="D213" t="s">
        <v>355</v>
      </c>
    </row>
    <row r="214" spans="1:5" x14ac:dyDescent="0.2">
      <c r="A214" t="str">
        <f>HYPERLINK("http://infomotions.com", "http://infomotions.com")</f>
        <v>http://infomotions.com</v>
      </c>
      <c r="B214" t="s">
        <v>5</v>
      </c>
      <c r="C214" t="str">
        <f>HYPERLINK("https://www.reddit.com/r/opendirectories/comments/4b4e3b", "Some Html and Epub books. Also contains other stuff higher up.")</f>
        <v>Some Html and Epub books. Also contains other stuff higher up.</v>
      </c>
      <c r="D214" t="s">
        <v>639</v>
      </c>
    </row>
    <row r="215" spans="1:5" x14ac:dyDescent="0.2">
      <c r="A215" t="str">
        <f>HYPERLINK("http://www.jamiedole.com/music", "http://www.jamiedole.com/music")</f>
        <v>http://www.jamiedole.com/music</v>
      </c>
      <c r="B215" t="s">
        <v>5</v>
      </c>
      <c r="C215" t="str">
        <f>HYPERLINK("https://www.reddit.com/r/opendirectories/comments/48qglp", "Small collection of music. (And the music from Book of Mormon!)")</f>
        <v>Small collection of music. (And the music from Book of Mormon!)</v>
      </c>
      <c r="D215" t="s">
        <v>567</v>
      </c>
    </row>
    <row r="216" spans="1:5" x14ac:dyDescent="0.2">
      <c r="A216" t="str">
        <f>HYPERLINK("http://ranger.befunk.com", "http://ranger.befunk.com")</f>
        <v>http://ranger.befunk.com</v>
      </c>
      <c r="B216" t="s">
        <v>5</v>
      </c>
      <c r="C216" t="str">
        <f>HYPERLINK("https://www.reddit.com/r/opendirectories/comments/3lm4gy", "/u/wearehidden's directory dump (with more organization / info)")</f>
        <v>/u/wearehidden's directory dump (with more organization / info)</v>
      </c>
      <c r="D216" t="s">
        <v>358</v>
      </c>
      <c r="E216" t="s">
        <v>359</v>
      </c>
    </row>
    <row r="217" spans="1:5" x14ac:dyDescent="0.2">
      <c r="A217" t="str">
        <f>HYPERLINK("http://ashoftar.persiangig.com/Books", "http://ashoftar.persiangig.com/Books")</f>
        <v>http://ashoftar.persiangig.com/Books</v>
      </c>
      <c r="B217" t="s">
        <v>5</v>
      </c>
      <c r="C217" t="str">
        <f>HYPERLINK("https://www.reddit.com/r/opendirectories/comments/3dgmf8", "A small directory of critical theory ebooks - Lacan, Deleuze, Agamben et al")</f>
        <v>A small directory of critical theory ebooks - Lacan, Deleuze, Agamben et al</v>
      </c>
      <c r="D217" t="s">
        <v>669</v>
      </c>
    </row>
    <row r="218" spans="1:5" x14ac:dyDescent="0.2">
      <c r="A218" t="str">
        <f>HYPERLINK("https://git-annex.branchable.com/how_it_works", "https://git-annex.branchable.com/how_it_works")</f>
        <v>https://git-annex.branchable.com/how_it_works</v>
      </c>
      <c r="B218" t="s">
        <v>5</v>
      </c>
      <c r="C218" t="str">
        <f>HYPERLINK("https://www.reddit.com/r/opendirectories/comments/33rxdy", "Where I keep my downloads(A brief overview of where I store my content and how I try to keep it safe)")</f>
        <v>Where I keep my downloads(A brief overview of where I store my content and how I try to keep it safe)</v>
      </c>
      <c r="D218" t="s">
        <v>670</v>
      </c>
    </row>
    <row r="219" spans="1:5" x14ac:dyDescent="0.2">
      <c r="A219" t="str">
        <f>HYPERLINK("https://git-annex.branchable.com/special_remotes", "https://git-annex.branchable.com/special_remotes")</f>
        <v>https://git-annex.branchable.com/special_remotes</v>
      </c>
      <c r="B219" t="s">
        <v>5</v>
      </c>
      <c r="C219" t="str">
        <f>HYPERLINK("https://www.reddit.com/r/opendirectories/comments/33rxdy", "Where I keep my downloads(A brief overview of where I store my content and how I try to keep it safe)")</f>
        <v>Where I keep my downloads(A brief overview of where I store my content and how I try to keep it safe)</v>
      </c>
      <c r="D219" t="s">
        <v>670</v>
      </c>
    </row>
    <row r="220" spans="1:5" x14ac:dyDescent="0.2">
      <c r="A220" t="str">
        <f>HYPERLINK("https://ftp.severinsson.net", "https://ftp.severinsson.net")</f>
        <v>https://ftp.severinsson.net</v>
      </c>
      <c r="B220" t="s">
        <v>5</v>
      </c>
      <c r="C220" t="str">
        <f>HYPERLINK("https://www.reddit.com/r/opendirectories/comments/30a6qq", "Music, movies, ebooks, audio books")</f>
        <v>Music, movies, ebooks, audio books</v>
      </c>
      <c r="D220" t="s">
        <v>434</v>
      </c>
    </row>
    <row r="221" spans="1:5" x14ac:dyDescent="0.2">
      <c r="A221" t="str">
        <f>HYPERLINK("http://home.fa.utl.pt/~cfig", "http://home.fa.utl.pt/~cfig")</f>
        <v>http://home.fa.utl.pt/~cfig</v>
      </c>
      <c r="B221" t="s">
        <v>5</v>
      </c>
      <c r="C221" t="str">
        <f>HYPERLINK("https://www.reddit.com/r/opendirectories/comments/2xo8n7", "Classic movies, books about cinema (belongs to a cinema teacher)")</f>
        <v>Classic movies, books about cinema (belongs to a cinema teacher)</v>
      </c>
      <c r="D221" t="s">
        <v>435</v>
      </c>
    </row>
    <row r="222" spans="1:5" x14ac:dyDescent="0.2">
      <c r="A222" t="str">
        <f>HYPERLINK("http://www.krusch.com/books", "http://www.krusch.com/books")</f>
        <v>http://www.krusch.com/books</v>
      </c>
      <c r="B222" t="s">
        <v>5</v>
      </c>
      <c r="C222" t="str">
        <f>HYPERLINK("https://www.reddit.com/r/opendirectories/comments/2oc7q8", "Ebooks on the Kennedy assassination")</f>
        <v>Ebooks on the Kennedy assassination</v>
      </c>
      <c r="D222" t="s">
        <v>671</v>
      </c>
    </row>
    <row r="223" spans="1:5" x14ac:dyDescent="0.2">
      <c r="A223" t="str">
        <f>HYPERLINK("http://keekles.org/~bryan/Downloads/TEOTWAWKI", "http://keekles.org/~bryan/Downloads/TEOTWAWKI")</f>
        <v>http://keekles.org/~bryan/Downloads/TEOTWAWKI</v>
      </c>
      <c r="B223" t="s">
        <v>5</v>
      </c>
      <c r="C223" t="str">
        <f>HYPERLINK("https://www.reddit.com/r/opendirectories/comments/2dwre0", "Anarchist and survival Ebook Collection")</f>
        <v>Anarchist and survival Ebook Collection</v>
      </c>
      <c r="D223" t="s">
        <v>672</v>
      </c>
    </row>
    <row r="224" spans="1:5" x14ac:dyDescent="0.2">
      <c r="A224" t="str">
        <f>HYPERLINK("http://9ch.in/cesia", "http://9ch.in/cesia")</f>
        <v>http://9ch.in/cesia</v>
      </c>
      <c r="B224" t="s">
        <v>5</v>
      </c>
      <c r="C224" t="str">
        <f>HYPERLINK("https://www.reddit.com/r/opendirectories/comments/eqr99", "Cesia- A searchable ebook repository")</f>
        <v>Cesia- A searchable ebook repository</v>
      </c>
      <c r="D224" t="s">
        <v>673</v>
      </c>
    </row>
  </sheetData>
  <pageMargins left="0.75" right="0.75" top="1" bottom="1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uncatalogued</vt:lpstr>
      <vt:lpstr>video</vt:lpstr>
      <vt:lpstr>movie</vt:lpstr>
      <vt:lpstr>serie</vt:lpstr>
      <vt:lpstr>audio</vt:lpstr>
      <vt:lpstr>music</vt:lpstr>
      <vt:lpstr>audiobook</vt:lpstr>
      <vt:lpstr>docs</vt:lpstr>
      <vt:lpstr>ebook</vt:lpstr>
      <vt:lpstr>comics</vt:lpstr>
      <vt:lpstr>game</vt:lpstr>
      <vt:lpstr>software</vt:lpstr>
      <vt:lpstr>image</vt:lpstr>
      <vt:lpstr>nsfw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dc:description/>
  <cp:lastModifiedBy>Björn Seegebarth</cp:lastModifiedBy>
  <cp:revision>3</cp:revision>
  <dcterms:created xsi:type="dcterms:W3CDTF">2021-09-19T12:47:19Z</dcterms:created>
  <dcterms:modified xsi:type="dcterms:W3CDTF">2024-04-25T10:13:57Z</dcterms:modified>
  <dc:language>de-DE</dc:language>
</cp:coreProperties>
</file>